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170" windowHeight="5895"/>
  </bookViews>
  <sheets>
    <sheet name="ALTERNATIVE ITA" sheetId="1" r:id="rId1"/>
    <sheet name="Foglio1" sheetId="2" r:id="rId2"/>
  </sheets>
  <definedNames>
    <definedName name="_xlnm.Print_Area" localSheetId="0">'ALTERNATIVE ITA'!$A$1:$O$105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C44" i="1"/>
  <c r="C25" i="1"/>
  <c r="C67" i="1"/>
  <c r="C22" i="1"/>
  <c r="Q63" i="1"/>
  <c r="E99" i="1" l="1"/>
  <c r="P34" i="1"/>
  <c r="E25" i="1"/>
  <c r="E13" i="1"/>
  <c r="U25" i="1" l="1"/>
  <c r="G82" i="1"/>
  <c r="I13" i="1"/>
  <c r="I8" i="1"/>
  <c r="G8" i="1" s="1"/>
  <c r="I101" i="1"/>
  <c r="I25" i="1"/>
  <c r="V41" i="1" l="1"/>
  <c r="W41" i="1"/>
  <c r="T53" i="1"/>
  <c r="W22" i="1"/>
  <c r="I81" i="1"/>
  <c r="J37" i="1" l="1"/>
  <c r="H40" i="1"/>
  <c r="F26" i="1"/>
  <c r="B50" i="1"/>
  <c r="C82" i="1"/>
  <c r="N40" i="1"/>
  <c r="L40" i="1"/>
  <c r="J40" i="1"/>
  <c r="F40" i="1"/>
  <c r="D40" i="1"/>
  <c r="E22" i="1"/>
  <c r="I27" i="1" l="1"/>
  <c r="H20" i="1"/>
  <c r="H26" i="1"/>
  <c r="C13" i="1" l="1"/>
  <c r="V22" i="1"/>
  <c r="S48" i="1" l="1"/>
  <c r="V25" i="1"/>
  <c r="G25" i="1" s="1"/>
  <c r="T48" i="1" l="1"/>
  <c r="F68" i="1"/>
  <c r="T44" i="1" l="1"/>
  <c r="V21" i="1"/>
  <c r="G22" i="1"/>
  <c r="I82" i="1" l="1"/>
  <c r="G21" i="1"/>
  <c r="E21" i="1" l="1"/>
  <c r="C21" i="1" s="1"/>
  <c r="F20" i="1"/>
  <c r="F32" i="1" s="1"/>
  <c r="G63" i="1"/>
  <c r="H68" i="1"/>
  <c r="T68" i="1" s="1"/>
  <c r="W23" i="1" l="1"/>
  <c r="X23" i="1"/>
  <c r="I84" i="1" l="1"/>
  <c r="V44" i="1"/>
  <c r="W44" i="1" s="1"/>
  <c r="Q48" i="1" l="1"/>
  <c r="U48" i="1"/>
  <c r="B40" i="1"/>
  <c r="U43" i="1"/>
  <c r="I41" i="1"/>
  <c r="U41" i="1" s="1"/>
  <c r="K22" i="1"/>
  <c r="B59" i="1" l="1"/>
  <c r="D59" i="1"/>
  <c r="F59" i="1"/>
  <c r="C80" i="1"/>
  <c r="B97" i="1" s="1"/>
  <c r="B68" i="1"/>
  <c r="B26" i="1"/>
  <c r="B17" i="1"/>
  <c r="C12" i="1"/>
  <c r="E80" i="1"/>
  <c r="D97" i="1" s="1"/>
  <c r="D68" i="1"/>
  <c r="D26" i="1"/>
  <c r="D17" i="1"/>
  <c r="E12" i="1"/>
  <c r="B98" i="1" l="1"/>
  <c r="D98" i="1"/>
  <c r="U44" i="1"/>
  <c r="X22" i="1" l="1"/>
  <c r="U42" i="1" l="1"/>
  <c r="U47" i="1"/>
  <c r="U46" i="1"/>
  <c r="G80" i="1"/>
  <c r="F97" i="1" s="1"/>
  <c r="F98" i="1" s="1"/>
  <c r="G103" i="1" s="1"/>
  <c r="N17" i="1"/>
  <c r="Y14" i="1"/>
  <c r="Y13" i="1"/>
  <c r="F17" i="1"/>
  <c r="G12" i="1"/>
  <c r="X8" i="1"/>
  <c r="B20" i="1" l="1"/>
  <c r="B32" i="1" s="1"/>
  <c r="D20" i="1"/>
  <c r="D32" i="1" s="1"/>
  <c r="Y20" i="1"/>
  <c r="K41" i="1" l="1"/>
  <c r="W43" i="1"/>
  <c r="W45" i="1"/>
  <c r="K63" i="1"/>
  <c r="C16" i="2" l="1"/>
  <c r="M99" i="1"/>
  <c r="K99" i="1"/>
  <c r="N97" i="1"/>
  <c r="M90" i="1"/>
  <c r="K90" i="1"/>
  <c r="K89" i="1"/>
  <c r="M86" i="1"/>
  <c r="K86" i="1"/>
  <c r="K85" i="1"/>
  <c r="M84" i="1"/>
  <c r="K84" i="1"/>
  <c r="I80" i="1"/>
  <c r="H97" i="1" s="1"/>
  <c r="K83" i="1"/>
  <c r="M81" i="1"/>
  <c r="M80" i="1" s="1"/>
  <c r="K81" i="1"/>
  <c r="K80" i="1" s="1"/>
  <c r="K79" i="1"/>
  <c r="M77" i="1"/>
  <c r="K77" i="1"/>
  <c r="K75" i="1"/>
  <c r="N68" i="1"/>
  <c r="J68" i="1"/>
  <c r="M63" i="1"/>
  <c r="L68" i="1" s="1"/>
  <c r="M46" i="1"/>
  <c r="K46" i="1"/>
  <c r="W46" i="1" s="1"/>
  <c r="I45" i="1"/>
  <c r="U45" i="1" s="1"/>
  <c r="M44" i="1"/>
  <c r="K27" i="1"/>
  <c r="J26" i="1" s="1"/>
  <c r="N26" i="1"/>
  <c r="N32" i="1" s="1"/>
  <c r="L26" i="1"/>
  <c r="M23" i="1"/>
  <c r="M22" i="1"/>
  <c r="K21" i="1"/>
  <c r="AA19" i="1"/>
  <c r="M19" i="1"/>
  <c r="K19" i="1"/>
  <c r="M18" i="1"/>
  <c r="K18" i="1"/>
  <c r="J17" i="1" s="1"/>
  <c r="L17" i="1"/>
  <c r="H17" i="1"/>
  <c r="O13" i="1"/>
  <c r="M12" i="1"/>
  <c r="K12" i="1"/>
  <c r="I12" i="1"/>
  <c r="O7" i="1"/>
  <c r="O8" i="1" s="1"/>
  <c r="J9" i="1" l="1"/>
  <c r="M7" i="1"/>
  <c r="M8" i="1" s="1"/>
  <c r="L6" i="1" s="1"/>
  <c r="L20" i="1"/>
  <c r="L32" i="1" s="1"/>
  <c r="X12" i="1"/>
  <c r="J20" i="1"/>
  <c r="J32" i="1" s="1"/>
  <c r="L97" i="1"/>
  <c r="L98" i="1" s="1"/>
  <c r="M103" i="1" s="1"/>
  <c r="L105" i="1" s="1"/>
  <c r="M39" i="1" s="1"/>
  <c r="K7" i="1"/>
  <c r="N98" i="1"/>
  <c r="J97" i="1"/>
  <c r="J98" i="1" s="1"/>
  <c r="K103" i="1" s="1"/>
  <c r="H98" i="1"/>
  <c r="N6" i="1"/>
  <c r="N14" i="1" s="1"/>
  <c r="N34" i="1" s="1"/>
  <c r="O99" i="1"/>
  <c r="O103" i="1" s="1"/>
  <c r="N105" i="1" s="1"/>
  <c r="O39" i="1" s="1"/>
  <c r="N37" i="1" s="1"/>
  <c r="M13" i="1"/>
  <c r="L9" i="1" s="1"/>
  <c r="L14" i="1" s="1"/>
  <c r="Z12" i="1"/>
  <c r="X13" i="1" l="1"/>
  <c r="AA13" i="1" s="1"/>
  <c r="X14" i="1"/>
  <c r="X20" i="1" s="1"/>
  <c r="L34" i="1"/>
  <c r="H32" i="1"/>
  <c r="K8" i="1"/>
  <c r="J6" i="1" s="1"/>
  <c r="J14" i="1" s="1"/>
  <c r="J34" i="1" s="1"/>
  <c r="I7" i="1"/>
  <c r="N53" i="1"/>
  <c r="N55" i="1" s="1"/>
  <c r="M38" i="1"/>
  <c r="L37" i="1" s="1"/>
  <c r="AA16" i="1"/>
  <c r="G99" i="1" s="1"/>
  <c r="H9" i="1"/>
  <c r="AA18" i="1"/>
  <c r="Z14" i="1"/>
  <c r="Z20" i="1" s="1"/>
  <c r="AA17" i="1"/>
  <c r="AA12" i="1"/>
  <c r="J105" i="1"/>
  <c r="K39" i="1" s="1"/>
  <c r="C103" i="1" l="1"/>
  <c r="B105" i="1" s="1"/>
  <c r="C39" i="1" s="1"/>
  <c r="E103" i="1"/>
  <c r="D105" i="1" s="1"/>
  <c r="E39" i="1" s="1"/>
  <c r="F105" i="1"/>
  <c r="G39" i="1" s="1"/>
  <c r="G7" i="1"/>
  <c r="H6" i="1"/>
  <c r="H14" i="1" s="1"/>
  <c r="H34" i="1" s="1"/>
  <c r="F9" i="1"/>
  <c r="B9" i="1"/>
  <c r="D9" i="1"/>
  <c r="AA15" i="1"/>
  <c r="I99" i="1" s="1"/>
  <c r="AA14" i="1"/>
  <c r="AA20" i="1" s="1"/>
  <c r="L53" i="1"/>
  <c r="L55" i="1" s="1"/>
  <c r="K38" i="1"/>
  <c r="I103" i="1" l="1"/>
  <c r="H105" i="1" s="1"/>
  <c r="I39" i="1" s="1"/>
  <c r="E7" i="1"/>
  <c r="F6" i="1"/>
  <c r="F14" i="1" s="1"/>
  <c r="F34" i="1" s="1"/>
  <c r="J53" i="1"/>
  <c r="J55" i="1" s="1"/>
  <c r="I38" i="1"/>
  <c r="H37" i="1" l="1"/>
  <c r="G38" i="1" s="1"/>
  <c r="F37" i="1" s="1"/>
  <c r="E8" i="1"/>
  <c r="D6" i="1" s="1"/>
  <c r="D14" i="1" s="1"/>
  <c r="D34" i="1" s="1"/>
  <c r="C7" i="1"/>
  <c r="C8" i="1" s="1"/>
  <c r="B6" i="1" s="1"/>
  <c r="B14" i="1" s="1"/>
  <c r="B34" i="1" s="1"/>
  <c r="F53" i="1" l="1"/>
  <c r="F55" i="1" s="1"/>
  <c r="E38" i="1"/>
  <c r="D37" i="1" s="1"/>
  <c r="D53" i="1" s="1"/>
  <c r="D55" i="1" s="1"/>
  <c r="H53" i="1"/>
  <c r="H55" i="1" s="1"/>
  <c r="B37" i="1" l="1"/>
  <c r="B53" i="1" s="1"/>
  <c r="B55" i="1" s="1"/>
</calcChain>
</file>

<file path=xl/sharedStrings.xml><?xml version="1.0" encoding="utf-8"?>
<sst xmlns="http://schemas.openxmlformats.org/spreadsheetml/2006/main" count="112" uniqueCount="110">
  <si>
    <t>ATTIVO</t>
  </si>
  <si>
    <t>A) IMMOBILIZZAZIONI</t>
  </si>
  <si>
    <t>A - I - Immobilizzazioni immateriali</t>
  </si>
  <si>
    <t xml:space="preserve">      I - 1- Spese Costituzione</t>
  </si>
  <si>
    <t>A - II- Immobilizzazioni materiali</t>
  </si>
  <si>
    <t xml:space="preserve">      II - 1- Telefoni e fax</t>
  </si>
  <si>
    <t xml:space="preserve">      II - 2- Mobili e arredi</t>
  </si>
  <si>
    <t xml:space="preserve">      II - 3- Personal computers e stampanti</t>
  </si>
  <si>
    <t>TOTALE IMMOBILIZZAZIONI (A)</t>
  </si>
  <si>
    <t>B) ATTIVO CIRCOLANTE</t>
  </si>
  <si>
    <t xml:space="preserve">B - III- Attività finanziarie che non </t>
  </si>
  <si>
    <t xml:space="preserve">         costituiscono immobilizzazioni.</t>
  </si>
  <si>
    <t xml:space="preserve">      III - 1- Titoli</t>
  </si>
  <si>
    <t xml:space="preserve">      III - 2- Deposito locatore sede</t>
  </si>
  <si>
    <t>TOTALE ATTIVO CIRCOLANTE (B)</t>
  </si>
  <si>
    <t>TOTALE ATTIVITA' (A+B)</t>
  </si>
  <si>
    <t>PASSIVO</t>
  </si>
  <si>
    <t xml:space="preserve">      I) Fondo amm.to spese costituzione</t>
  </si>
  <si>
    <t xml:space="preserve">      II) Fondo amm.to Telef. / mobili / HW</t>
  </si>
  <si>
    <t xml:space="preserve">      II - Debiti v/ erario per IRAP da versare</t>
  </si>
  <si>
    <t>Totale passività + Netto</t>
  </si>
  <si>
    <t>A) RICAVI E PROVENTI</t>
  </si>
  <si>
    <t>1) Contributi e liberalità</t>
  </si>
  <si>
    <t>Totale ricavi e proventi</t>
  </si>
  <si>
    <t>B) COSTI DELLA GESTIONE</t>
  </si>
  <si>
    <t>Totale costi della gestione</t>
  </si>
  <si>
    <t>C) Ammortamenti</t>
  </si>
  <si>
    <t>D) Proventi e oneri finanziari</t>
  </si>
  <si>
    <t>E) Oneri straordinari</t>
  </si>
  <si>
    <t>RISULTATO PRIMA DELLE IMPOSTE</t>
  </si>
  <si>
    <t>Imposte (IRAP)</t>
  </si>
  <si>
    <t>DISAVANZO OPERATIVO (A - B)</t>
  </si>
  <si>
    <t xml:space="preserve">      IV - Debiti v/soci per anticipazioni</t>
  </si>
  <si>
    <t>AVANZO DELL'ESERCIZIO</t>
  </si>
  <si>
    <t>B - IV- Disponibilità liquide</t>
  </si>
  <si>
    <t xml:space="preserve">      IV - 1- Banca </t>
  </si>
  <si>
    <t xml:space="preserve">      IV - 3- Cassa</t>
  </si>
  <si>
    <t xml:space="preserve">      IV - 2- PP. TT.</t>
  </si>
  <si>
    <t>A) PATRIMONIO NETTO</t>
  </si>
  <si>
    <t xml:space="preserve">B - III - Crediti </t>
  </si>
  <si>
    <t xml:space="preserve">      I - Patrimonio Associativo</t>
  </si>
  <si>
    <t>B) DEBITI</t>
  </si>
  <si>
    <t xml:space="preserve">STATO PATRIMONIALE </t>
  </si>
  <si>
    <t xml:space="preserve">CONTO ECONOMICO </t>
  </si>
  <si>
    <t xml:space="preserve"> ASSOCIAZIONE ALTERNATIVE EUROPEE</t>
  </si>
  <si>
    <t xml:space="preserve">      III - Debiti v/ fornitori</t>
  </si>
  <si>
    <t>1 - Spese bancarie</t>
  </si>
  <si>
    <t>1 - a) Quote associative</t>
  </si>
  <si>
    <t>1 - c) Contributi pubblici</t>
  </si>
  <si>
    <t>1 - d) Contributi da privati</t>
  </si>
  <si>
    <t>1 - e) Donazioni ed erogazioni liberali</t>
  </si>
  <si>
    <t>1 - b) Contributi specifici soci e partners istituzionali</t>
  </si>
  <si>
    <t>3 - Spese telefoniche</t>
  </si>
  <si>
    <t>4 - Canoni locazione sede</t>
  </si>
  <si>
    <t>5 - Spese postali e spedizioni</t>
  </si>
  <si>
    <t>6 - Materiali di consumo ufficio</t>
  </si>
  <si>
    <t>8 - Consulenza</t>
  </si>
  <si>
    <t>9 - Costi per pesonale</t>
  </si>
  <si>
    <t xml:space="preserve">    a) Salari e stipendi</t>
  </si>
  <si>
    <t xml:space="preserve">    b) Oneri sociali e previdenziali</t>
  </si>
  <si>
    <t xml:space="preserve">    c) Tfr maturato nell'anno</t>
  </si>
  <si>
    <t>C) TFR</t>
  </si>
  <si>
    <t>11 - Spese trasferta e ospitalità</t>
  </si>
  <si>
    <t>12 - Spese di registro e bolli</t>
  </si>
  <si>
    <t>14 - Spese per professionisti e collaboratori occasionali</t>
  </si>
  <si>
    <t>15 - Acquisto e noleggio materiale tecnico</t>
  </si>
  <si>
    <t>7 - Pubblicità e stampe</t>
  </si>
  <si>
    <t xml:space="preserve">      IV - Debiti v/ enti previdenziali ed assistenziali</t>
  </si>
  <si>
    <t xml:space="preserve">      I - Debiti v/ erario</t>
  </si>
  <si>
    <t xml:space="preserve">      V - Debiti v/ dipendenti</t>
  </si>
  <si>
    <t xml:space="preserve">      III - 3- Crediti v/ dipendenti per acconti versati</t>
  </si>
  <si>
    <t>13 - Donazioni e contributi ad associazioni partner</t>
  </si>
  <si>
    <t xml:space="preserve">    d) Altre competenze (buoni pasto e arrotondamenti)</t>
  </si>
  <si>
    <t xml:space="preserve">      V - Debiti v/ parasubordinati</t>
  </si>
  <si>
    <t>1 - f) Altri ricavi e proventi</t>
  </si>
  <si>
    <t>16 - Utenze e pulizie</t>
  </si>
  <si>
    <t>10 - Allestimenti e attrezzature</t>
  </si>
  <si>
    <t>2 - Oneri, sanzioni ed interessi</t>
  </si>
  <si>
    <t>17 - Assicurazione</t>
  </si>
  <si>
    <t>RATEI E RISCONTI (RISCONTO ATTIVO)</t>
  </si>
  <si>
    <t xml:space="preserve">      III - 2- Crediti v/ Partner e privati</t>
  </si>
  <si>
    <t xml:space="preserve">      III - 3- Crediti v/ collaboratori per acconti versati</t>
  </si>
  <si>
    <t>fondo ammortamento</t>
  </si>
  <si>
    <t xml:space="preserve">      V - Debiti v/banche</t>
  </si>
  <si>
    <t xml:space="preserve">      II  - Risultato di gestione </t>
  </si>
  <si>
    <t>GENNAIO</t>
  </si>
  <si>
    <t>CREDITO</t>
  </si>
  <si>
    <t>UTILIZZATO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</si>
  <si>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</si>
  <si>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</si>
  <si>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</si>
  <si>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</si>
  <si>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</si>
  <si>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</si>
  <si>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</si>
  <si>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</si>
  <si>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</si>
  <si>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</si>
  <si>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</si>
  <si>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STATUTO</t>
  </si>
  <si>
    <t>PC</t>
  </si>
  <si>
    <t xml:space="preserve">      III - 4- Crediti v/ INPS / INAIL</t>
  </si>
  <si>
    <t>deb 2015 pagati 2016</t>
  </si>
  <si>
    <t>crediti 2015 utilizzi 2016</t>
  </si>
  <si>
    <t xml:space="preserve">       III - 1- Crediti v/ erario</t>
  </si>
  <si>
    <t>crediti fine 2016</t>
  </si>
  <si>
    <t xml:space="preserve">       VI - Acconti ricevuti</t>
  </si>
  <si>
    <t>crediti 2016 utilizzi 2017</t>
  </si>
  <si>
    <t xml:space="preserve">D) RATEI E RISCONTI PASSIVI </t>
  </si>
  <si>
    <t>18- Alri oneri di gestione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</si>
</sst>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0_ ;\-0\ "/>
    <numFmt numFmtId="166" formatCode="_-* #,##0.00_-;\-* #,##0.00_-;_-* &quot;-&quot;_-;_-@_-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i/>
      <sz val="10"/>
      <name val="Arial Narrow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41" fontId="4" fillId="0" borderId="0" xfId="2" applyFont="1" applyFill="1"/>
    <xf numFmtId="41" fontId="4" fillId="0" borderId="8" xfId="2" applyFont="1" applyFill="1" applyBorder="1"/>
    <xf numFmtId="164" fontId="4" fillId="0" borderId="6" xfId="2" applyNumberFormat="1" applyFont="1" applyFill="1" applyBorder="1"/>
    <xf numFmtId="164" fontId="3" fillId="0" borderId="4" xfId="2" applyNumberFormat="1" applyFont="1" applyFill="1" applyBorder="1"/>
    <xf numFmtId="164" fontId="3" fillId="0" borderId="25" xfId="2" applyNumberFormat="1" applyFont="1" applyFill="1" applyBorder="1" applyAlignment="1">
      <alignment horizontal="right"/>
    </xf>
    <xf numFmtId="41" fontId="3" fillId="0" borderId="24" xfId="2" applyFont="1" applyFill="1" applyBorder="1" applyAlignment="1">
      <alignment horizontal="right"/>
    </xf>
    <xf numFmtId="166" fontId="4" fillId="0" borderId="12" xfId="2" applyNumberFormat="1" applyFont="1" applyFill="1" applyBorder="1"/>
    <xf numFmtId="164" fontId="3" fillId="0" borderId="21" xfId="2" quotePrefix="1" applyNumberFormat="1" applyFont="1" applyFill="1" applyBorder="1" applyAlignment="1">
      <alignment horizontal="right"/>
    </xf>
    <xf numFmtId="41" fontId="3" fillId="0" borderId="19" xfId="2" applyFont="1" applyFill="1" applyBorder="1" applyAlignment="1">
      <alignment horizontal="right"/>
    </xf>
    <xf numFmtId="164" fontId="3" fillId="0" borderId="33" xfId="2" quotePrefix="1" applyNumberFormat="1" applyFont="1" applyFill="1" applyBorder="1" applyAlignment="1">
      <alignment horizontal="right"/>
    </xf>
    <xf numFmtId="166" fontId="4" fillId="0" borderId="14" xfId="2" applyNumberFormat="1" applyFont="1" applyFill="1" applyBorder="1"/>
    <xf numFmtId="41" fontId="3" fillId="0" borderId="0" xfId="2" applyFont="1" applyFill="1"/>
    <xf numFmtId="41" fontId="3" fillId="0" borderId="0" xfId="2" applyFont="1" applyFill="1" applyBorder="1" applyAlignment="1">
      <alignment horizontal="left"/>
    </xf>
    <xf numFmtId="41" fontId="3" fillId="0" borderId="0" xfId="2" applyFont="1" applyFill="1" applyBorder="1" applyAlignment="1">
      <alignment horizontal="right"/>
    </xf>
    <xf numFmtId="41" fontId="4" fillId="0" borderId="16" xfId="2" applyFont="1" applyFill="1" applyBorder="1"/>
    <xf numFmtId="41" fontId="3" fillId="0" borderId="17" xfId="2" applyFont="1" applyFill="1" applyBorder="1"/>
    <xf numFmtId="164" fontId="3" fillId="0" borderId="18" xfId="2" applyNumberFormat="1" applyFont="1" applyFill="1" applyBorder="1" applyAlignment="1">
      <alignment horizontal="right"/>
    </xf>
    <xf numFmtId="164" fontId="4" fillId="0" borderId="3" xfId="2" applyNumberFormat="1" applyFont="1" applyFill="1" applyBorder="1"/>
    <xf numFmtId="41" fontId="5" fillId="0" borderId="0" xfId="2" applyFont="1" applyFill="1"/>
    <xf numFmtId="41" fontId="5" fillId="0" borderId="8" xfId="2" applyFont="1" applyFill="1" applyBorder="1"/>
    <xf numFmtId="166" fontId="3" fillId="0" borderId="19" xfId="2" applyNumberFormat="1" applyFont="1" applyFill="1" applyBorder="1" applyAlignment="1">
      <alignment horizontal="right"/>
    </xf>
    <xf numFmtId="164" fontId="4" fillId="0" borderId="4" xfId="2" applyNumberFormat="1" applyFont="1" applyFill="1" applyBorder="1" applyAlignment="1">
      <alignment horizontal="left"/>
    </xf>
    <xf numFmtId="164" fontId="3" fillId="0" borderId="20" xfId="2" applyNumberFormat="1" applyFont="1" applyFill="1" applyBorder="1" applyAlignment="1">
      <alignment horizontal="right"/>
    </xf>
    <xf numFmtId="164" fontId="4" fillId="0" borderId="4" xfId="2" applyNumberFormat="1" applyFont="1" applyFill="1" applyBorder="1"/>
    <xf numFmtId="164" fontId="3" fillId="0" borderId="19" xfId="2" applyNumberFormat="1" applyFont="1" applyFill="1" applyBorder="1" applyAlignment="1">
      <alignment horizontal="right"/>
    </xf>
    <xf numFmtId="164" fontId="4" fillId="0" borderId="12" xfId="2" applyNumberFormat="1" applyFont="1" applyFill="1" applyBorder="1"/>
    <xf numFmtId="41" fontId="3" fillId="0" borderId="8" xfId="2" applyFont="1" applyFill="1" applyBorder="1"/>
    <xf numFmtId="166" fontId="4" fillId="0" borderId="4" xfId="2" applyNumberFormat="1" applyFont="1" applyFill="1" applyBorder="1"/>
    <xf numFmtId="166" fontId="6" fillId="0" borderId="19" xfId="2" applyNumberFormat="1" applyFont="1" applyFill="1" applyBorder="1" applyAlignment="1">
      <alignment horizontal="right"/>
    </xf>
    <xf numFmtId="164" fontId="5" fillId="0" borderId="4" xfId="2" applyNumberFormat="1" applyFont="1" applyFill="1" applyBorder="1"/>
    <xf numFmtId="164" fontId="3" fillId="0" borderId="12" xfId="2" applyNumberFormat="1" applyFont="1" applyFill="1" applyBorder="1"/>
    <xf numFmtId="164" fontId="3" fillId="0" borderId="21" xfId="2" applyNumberFormat="1" applyFont="1" applyFill="1" applyBorder="1" applyAlignment="1">
      <alignment horizontal="right"/>
    </xf>
    <xf numFmtId="164" fontId="3" fillId="0" borderId="13" xfId="2" applyNumberFormat="1" applyFont="1" applyFill="1" applyBorder="1"/>
    <xf numFmtId="41" fontId="3" fillId="0" borderId="11" xfId="2" applyFont="1" applyFill="1" applyBorder="1"/>
    <xf numFmtId="164" fontId="3" fillId="0" borderId="22" xfId="2" applyNumberFormat="1" applyFont="1" applyFill="1" applyBorder="1" applyAlignment="1">
      <alignment horizontal="right"/>
    </xf>
    <xf numFmtId="164" fontId="3" fillId="0" borderId="1" xfId="2" applyNumberFormat="1" applyFont="1" applyFill="1" applyBorder="1"/>
    <xf numFmtId="41" fontId="4" fillId="0" borderId="7" xfId="2" applyFont="1" applyFill="1" applyBorder="1"/>
    <xf numFmtId="164" fontId="3" fillId="0" borderId="32" xfId="2" applyNumberFormat="1" applyFont="1" applyFill="1" applyBorder="1" applyAlignment="1">
      <alignment horizontal="right"/>
    </xf>
    <xf numFmtId="164" fontId="4" fillId="0" borderId="5" xfId="2" applyNumberFormat="1" applyFont="1" applyFill="1" applyBorder="1"/>
    <xf numFmtId="164" fontId="3" fillId="0" borderId="0" xfId="2" applyNumberFormat="1" applyFont="1" applyFill="1" applyBorder="1" applyAlignment="1">
      <alignment horizontal="right"/>
    </xf>
    <xf numFmtId="164" fontId="3" fillId="0" borderId="19" xfId="2" quotePrefix="1" applyNumberFormat="1" applyFont="1" applyFill="1" applyBorder="1" applyAlignment="1">
      <alignment horizontal="right"/>
    </xf>
    <xf numFmtId="164" fontId="3" fillId="0" borderId="20" xfId="2" quotePrefix="1" applyNumberFormat="1" applyFont="1" applyFill="1" applyBorder="1" applyAlignment="1">
      <alignment horizontal="right"/>
    </xf>
    <xf numFmtId="164" fontId="3" fillId="0" borderId="0" xfId="2" quotePrefix="1" applyNumberFormat="1" applyFont="1" applyFill="1" applyBorder="1" applyAlignment="1">
      <alignment horizontal="right"/>
    </xf>
    <xf numFmtId="166" fontId="3" fillId="0" borderId="20" xfId="2" applyNumberFormat="1" applyFont="1" applyFill="1" applyBorder="1" applyAlignment="1">
      <alignment horizontal="right"/>
    </xf>
    <xf numFmtId="41" fontId="3" fillId="0" borderId="9" xfId="2" applyFont="1" applyFill="1" applyBorder="1"/>
    <xf numFmtId="164" fontId="3" fillId="0" borderId="27" xfId="2" applyNumberFormat="1" applyFont="1" applyFill="1" applyBorder="1" applyAlignment="1">
      <alignment horizontal="right"/>
    </xf>
    <xf numFmtId="164" fontId="3" fillId="0" borderId="15" xfId="2" applyNumberFormat="1" applyFont="1" applyFill="1" applyBorder="1" applyAlignment="1">
      <alignment horizontal="right"/>
    </xf>
    <xf numFmtId="41" fontId="3" fillId="0" borderId="0" xfId="2" applyFont="1" applyFill="1" applyBorder="1"/>
    <xf numFmtId="166" fontId="3" fillId="0" borderId="0" xfId="2" applyNumberFormat="1" applyFont="1" applyFill="1" applyBorder="1" applyAlignment="1">
      <alignment horizontal="right"/>
    </xf>
    <xf numFmtId="166" fontId="3" fillId="0" borderId="0" xfId="2" applyNumberFormat="1" applyFont="1" applyFill="1" applyBorder="1"/>
    <xf numFmtId="43" fontId="3" fillId="0" borderId="0" xfId="1" applyFont="1" applyFill="1" applyAlignment="1">
      <alignment horizontal="right"/>
    </xf>
    <xf numFmtId="41" fontId="3" fillId="0" borderId="15" xfId="2" applyFont="1" applyFill="1" applyBorder="1" applyAlignment="1">
      <alignment horizontal="left"/>
    </xf>
    <xf numFmtId="41" fontId="3" fillId="0" borderId="15" xfId="2" applyFont="1" applyFill="1" applyBorder="1" applyAlignment="1">
      <alignment horizontal="right"/>
    </xf>
    <xf numFmtId="41" fontId="3" fillId="0" borderId="23" xfId="2" applyFont="1" applyFill="1" applyBorder="1" applyAlignment="1">
      <alignment horizontal="right"/>
    </xf>
    <xf numFmtId="41" fontId="3" fillId="0" borderId="18" xfId="2" applyFont="1" applyFill="1" applyBorder="1" applyAlignment="1">
      <alignment horizontal="right"/>
    </xf>
    <xf numFmtId="41" fontId="6" fillId="0" borderId="24" xfId="2" applyFont="1" applyFill="1" applyBorder="1" applyAlignment="1">
      <alignment horizontal="right"/>
    </xf>
    <xf numFmtId="41" fontId="6" fillId="0" borderId="19" xfId="2" applyFont="1" applyFill="1" applyBorder="1" applyAlignment="1">
      <alignment horizontal="right"/>
    </xf>
    <xf numFmtId="41" fontId="4" fillId="0" borderId="10" xfId="2" applyFont="1" applyFill="1" applyBorder="1"/>
    <xf numFmtId="41" fontId="7" fillId="0" borderId="8" xfId="2" applyFont="1" applyFill="1" applyBorder="1"/>
    <xf numFmtId="166" fontId="7" fillId="0" borderId="4" xfId="2" applyNumberFormat="1" applyFont="1" applyFill="1" applyBorder="1"/>
    <xf numFmtId="166" fontId="4" fillId="0" borderId="0" xfId="2" applyNumberFormat="1" applyFont="1" applyFill="1"/>
    <xf numFmtId="41" fontId="3" fillId="0" borderId="10" xfId="2" applyFont="1" applyFill="1" applyBorder="1"/>
    <xf numFmtId="41" fontId="3" fillId="0" borderId="8" xfId="2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center"/>
    </xf>
    <xf numFmtId="164" fontId="3" fillId="0" borderId="19" xfId="2" applyNumberFormat="1" applyFont="1" applyFill="1" applyBorder="1" applyAlignment="1">
      <alignment horizontal="right" vertical="center"/>
    </xf>
    <xf numFmtId="41" fontId="3" fillId="0" borderId="0" xfId="2" applyFont="1" applyFill="1" applyBorder="1" applyAlignment="1">
      <alignment vertical="center"/>
    </xf>
    <xf numFmtId="41" fontId="3" fillId="0" borderId="0" xfId="2" applyFont="1" applyFill="1" applyAlignment="1">
      <alignment vertical="center"/>
    </xf>
    <xf numFmtId="164" fontId="3" fillId="0" borderId="26" xfId="2" applyNumberFormat="1" applyFont="1" applyFill="1" applyBorder="1" applyAlignment="1">
      <alignment horizontal="right"/>
    </xf>
    <xf numFmtId="41" fontId="4" fillId="0" borderId="2" xfId="2" applyFont="1" applyFill="1" applyBorder="1"/>
    <xf numFmtId="164" fontId="3" fillId="0" borderId="28" xfId="2" applyNumberFormat="1" applyFont="1" applyFill="1" applyBorder="1" applyAlignment="1">
      <alignment horizontal="right"/>
    </xf>
    <xf numFmtId="41" fontId="4" fillId="0" borderId="0" xfId="2" applyFont="1" applyFill="1" applyBorder="1"/>
    <xf numFmtId="41" fontId="3" fillId="0" borderId="0" xfId="2" applyFont="1" applyFill="1" applyAlignment="1">
      <alignment horizontal="right"/>
    </xf>
    <xf numFmtId="41" fontId="3" fillId="0" borderId="0" xfId="2" applyFont="1" applyFill="1" applyAlignment="1">
      <alignment horizontal="centerContinuous"/>
    </xf>
    <xf numFmtId="41" fontId="3" fillId="0" borderId="0" xfId="2" applyFont="1" applyFill="1" applyAlignment="1">
      <alignment horizontal="center"/>
    </xf>
    <xf numFmtId="41" fontId="4" fillId="0" borderId="0" xfId="2" applyFont="1" applyFill="1" applyAlignment="1">
      <alignment horizontal="left"/>
    </xf>
    <xf numFmtId="44" fontId="4" fillId="0" borderId="0" xfId="3" applyFont="1" applyFill="1"/>
    <xf numFmtId="0" fontId="8" fillId="0" borderId="0" xfId="0" applyFont="1"/>
    <xf numFmtId="10" fontId="4" fillId="0" borderId="0" xfId="4" applyNumberFormat="1" applyFont="1" applyFill="1"/>
    <xf numFmtId="1" fontId="4" fillId="0" borderId="0" xfId="2" applyNumberFormat="1" applyFont="1" applyFill="1"/>
    <xf numFmtId="164" fontId="3" fillId="0" borderId="0" xfId="2" applyNumberFormat="1" applyFont="1" applyFill="1" applyBorder="1" applyAlignment="1">
      <alignment horizontal="left"/>
    </xf>
    <xf numFmtId="164" fontId="3" fillId="0" borderId="20" xfId="2" applyNumberFormat="1" applyFont="1" applyFill="1" applyBorder="1"/>
    <xf numFmtId="164" fontId="4" fillId="0" borderId="20" xfId="2" applyNumberFormat="1" applyFont="1" applyFill="1" applyBorder="1"/>
    <xf numFmtId="164" fontId="3" fillId="0" borderId="22" xfId="2" applyNumberFormat="1" applyFont="1" applyFill="1" applyBorder="1"/>
    <xf numFmtId="164" fontId="4" fillId="0" borderId="32" xfId="2" applyNumberFormat="1" applyFont="1" applyFill="1" applyBorder="1"/>
    <xf numFmtId="164" fontId="3" fillId="0" borderId="34" xfId="2" applyNumberFormat="1" applyFont="1" applyFill="1" applyBorder="1"/>
    <xf numFmtId="164" fontId="3" fillId="0" borderId="0" xfId="2" applyNumberFormat="1" applyFont="1" applyFill="1" applyBorder="1"/>
    <xf numFmtId="164" fontId="3" fillId="0" borderId="0" xfId="2" applyNumberFormat="1" applyFont="1" applyFill="1"/>
    <xf numFmtId="164" fontId="3" fillId="0" borderId="15" xfId="2" applyNumberFormat="1" applyFont="1" applyFill="1" applyBorder="1" applyAlignment="1">
      <alignment horizontal="left"/>
    </xf>
    <xf numFmtId="164" fontId="4" fillId="0" borderId="14" xfId="2" applyNumberFormat="1" applyFont="1" applyFill="1" applyBorder="1"/>
    <xf numFmtId="164" fontId="4" fillId="0" borderId="2" xfId="2" applyNumberFormat="1" applyFont="1" applyFill="1" applyBorder="1"/>
    <xf numFmtId="164" fontId="4" fillId="0" borderId="0" xfId="2" applyNumberFormat="1" applyFont="1" applyFill="1"/>
    <xf numFmtId="164" fontId="3" fillId="0" borderId="0" xfId="2" applyNumberFormat="1" applyFont="1" applyFill="1" applyAlignment="1">
      <alignment horizontal="centerContinuous"/>
    </xf>
    <xf numFmtId="164" fontId="3" fillId="0" borderId="0" xfId="2" applyNumberFormat="1" applyFont="1" applyFill="1" applyAlignment="1">
      <alignment horizontal="center"/>
    </xf>
    <xf numFmtId="164" fontId="4" fillId="0" borderId="0" xfId="2" applyNumberFormat="1" applyFont="1" applyFill="1" applyAlignment="1">
      <alignment horizontal="left"/>
    </xf>
    <xf numFmtId="44" fontId="5" fillId="0" borderId="0" xfId="3" applyFont="1" applyFill="1"/>
    <xf numFmtId="164" fontId="4" fillId="0" borderId="35" xfId="2" applyNumberFormat="1" applyFont="1" applyFill="1" applyBorder="1"/>
    <xf numFmtId="164" fontId="4" fillId="0" borderId="8" xfId="2" applyNumberFormat="1" applyFont="1" applyFill="1" applyBorder="1" applyAlignment="1">
      <alignment horizontal="left"/>
    </xf>
    <xf numFmtId="164" fontId="4" fillId="0" borderId="8" xfId="2" applyNumberFormat="1" applyFont="1" applyFill="1" applyBorder="1"/>
    <xf numFmtId="166" fontId="4" fillId="0" borderId="8" xfId="2" applyNumberFormat="1" applyFont="1" applyFill="1" applyBorder="1"/>
    <xf numFmtId="164" fontId="3" fillId="0" borderId="8" xfId="2" applyNumberFormat="1" applyFont="1" applyFill="1" applyBorder="1"/>
    <xf numFmtId="41" fontId="3" fillId="0" borderId="36" xfId="2" applyFont="1" applyFill="1" applyBorder="1"/>
    <xf numFmtId="41" fontId="3" fillId="0" borderId="0" xfId="2" applyFont="1" applyFill="1" applyAlignment="1">
      <alignment horizontal="center"/>
    </xf>
    <xf numFmtId="41" fontId="2" fillId="0" borderId="0" xfId="2" applyFont="1" applyFill="1" applyBorder="1" applyAlignment="1">
      <alignment horizontal="center"/>
    </xf>
    <xf numFmtId="41" fontId="2" fillId="0" borderId="0" xfId="2" applyFont="1" applyFill="1" applyAlignment="1">
      <alignment horizontal="center"/>
    </xf>
    <xf numFmtId="41" fontId="4" fillId="4" borderId="0" xfId="2" applyFont="1" applyFill="1"/>
    <xf numFmtId="44" fontId="4" fillId="4" borderId="0" xfId="3" applyFont="1" applyFill="1"/>
    <xf numFmtId="165" fontId="3" fillId="0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Border="1"/>
    <xf numFmtId="164" fontId="4" fillId="0" borderId="0" xfId="2" applyNumberFormat="1" applyFont="1" applyFill="1" applyBorder="1" applyAlignment="1">
      <alignment horizontal="left"/>
    </xf>
    <xf numFmtId="166" fontId="4" fillId="0" borderId="0" xfId="2" applyNumberFormat="1" applyFont="1" applyFill="1" applyBorder="1"/>
    <xf numFmtId="164" fontId="5" fillId="0" borderId="0" xfId="2" applyNumberFormat="1" applyFont="1" applyFill="1" applyBorder="1"/>
    <xf numFmtId="41" fontId="3" fillId="0" borderId="0" xfId="2" applyFont="1" applyFill="1" applyAlignment="1">
      <alignment horizontal="center"/>
    </xf>
    <xf numFmtId="41" fontId="2" fillId="0" borderId="0" xfId="2" applyFont="1" applyFill="1" applyBorder="1" applyAlignment="1">
      <alignment horizontal="center"/>
    </xf>
    <xf numFmtId="41" fontId="2" fillId="0" borderId="0" xfId="2" applyFont="1" applyFill="1" applyAlignment="1">
      <alignment horizontal="center"/>
    </xf>
    <xf numFmtId="166" fontId="4" fillId="0" borderId="24" xfId="2" applyNumberFormat="1" applyFont="1" applyFill="1" applyBorder="1"/>
    <xf numFmtId="166" fontId="4" fillId="0" borderId="38" xfId="2" applyNumberFormat="1" applyFont="1" applyFill="1" applyBorder="1"/>
    <xf numFmtId="166" fontId="4" fillId="0" borderId="40" xfId="2" applyNumberFormat="1" applyFont="1" applyFill="1" applyBorder="1"/>
    <xf numFmtId="1" fontId="3" fillId="0" borderId="37" xfId="2" applyNumberFormat="1" applyFont="1" applyFill="1" applyBorder="1"/>
    <xf numFmtId="41" fontId="4" fillId="0" borderId="23" xfId="2" applyFont="1" applyFill="1" applyBorder="1"/>
    <xf numFmtId="41" fontId="4" fillId="0" borderId="38" xfId="2" applyFont="1" applyFill="1" applyBorder="1"/>
    <xf numFmtId="41" fontId="4" fillId="0" borderId="24" xfId="2" applyFont="1" applyFill="1" applyBorder="1"/>
    <xf numFmtId="41" fontId="4" fillId="3" borderId="38" xfId="2" applyFont="1" applyFill="1" applyBorder="1"/>
    <xf numFmtId="41" fontId="4" fillId="2" borderId="38" xfId="2" applyFont="1" applyFill="1" applyBorder="1"/>
    <xf numFmtId="41" fontId="4" fillId="0" borderId="39" xfId="2" applyFont="1" applyFill="1" applyBorder="1"/>
    <xf numFmtId="41" fontId="4" fillId="0" borderId="40" xfId="2" applyFont="1" applyFill="1" applyBorder="1"/>
    <xf numFmtId="166" fontId="4" fillId="4" borderId="38" xfId="2" applyNumberFormat="1" applyFont="1" applyFill="1" applyBorder="1"/>
    <xf numFmtId="166" fontId="4" fillId="4" borderId="39" xfId="2" applyNumberFormat="1" applyFont="1" applyFill="1" applyBorder="1"/>
    <xf numFmtId="41" fontId="4" fillId="0" borderId="37" xfId="2" applyFont="1" applyFill="1" applyBorder="1"/>
    <xf numFmtId="166" fontId="4" fillId="0" borderId="39" xfId="2" applyNumberFormat="1" applyFont="1" applyFill="1" applyBorder="1"/>
    <xf numFmtId="166" fontId="4" fillId="4" borderId="0" xfId="2" applyNumberFormat="1" applyFont="1" applyFill="1" applyBorder="1"/>
    <xf numFmtId="164" fontId="7" fillId="0" borderId="4" xfId="2" applyNumberFormat="1" applyFont="1" applyFill="1" applyBorder="1"/>
    <xf numFmtId="164" fontId="4" fillId="0" borderId="37" xfId="2" applyNumberFormat="1" applyFont="1" applyFill="1" applyBorder="1"/>
    <xf numFmtId="164" fontId="4" fillId="0" borderId="38" xfId="2" applyNumberFormat="1" applyFont="1" applyFill="1" applyBorder="1" applyAlignment="1">
      <alignment horizontal="left"/>
    </xf>
    <xf numFmtId="164" fontId="4" fillId="0" borderId="38" xfId="2" applyNumberFormat="1" applyFont="1" applyFill="1" applyBorder="1"/>
    <xf numFmtId="164" fontId="5" fillId="0" borderId="38" xfId="2" applyNumberFormat="1" applyFont="1" applyFill="1" applyBorder="1"/>
    <xf numFmtId="164" fontId="3" fillId="0" borderId="41" xfId="2" applyNumberFormat="1" applyFont="1" applyFill="1" applyBorder="1"/>
    <xf numFmtId="164" fontId="3" fillId="0" borderId="23" xfId="2" applyNumberFormat="1" applyFont="1" applyFill="1" applyBorder="1" applyAlignment="1">
      <alignment horizontal="right"/>
    </xf>
    <xf numFmtId="166" fontId="3" fillId="0" borderId="24" xfId="2" applyNumberFormat="1" applyFont="1" applyFill="1" applyBorder="1" applyAlignment="1">
      <alignment horizontal="right"/>
    </xf>
    <xf numFmtId="164" fontId="3" fillId="0" borderId="24" xfId="2" applyNumberFormat="1" applyFont="1" applyFill="1" applyBorder="1" applyAlignment="1">
      <alignment horizontal="right"/>
    </xf>
    <xf numFmtId="166" fontId="6" fillId="0" borderId="24" xfId="2" applyNumberFormat="1" applyFont="1" applyFill="1" applyBorder="1" applyAlignment="1">
      <alignment horizontal="right"/>
    </xf>
    <xf numFmtId="164" fontId="3" fillId="0" borderId="40" xfId="2" applyNumberFormat="1" applyFont="1" applyFill="1" applyBorder="1" applyAlignment="1">
      <alignment horizontal="right"/>
    </xf>
    <xf numFmtId="164" fontId="4" fillId="0" borderId="42" xfId="2" applyNumberFormat="1" applyFont="1" applyFill="1" applyBorder="1"/>
    <xf numFmtId="164" fontId="3" fillId="0" borderId="43" xfId="2" applyNumberFormat="1" applyFont="1" applyFill="1" applyBorder="1"/>
    <xf numFmtId="164" fontId="3" fillId="0" borderId="44" xfId="2" applyNumberFormat="1" applyFont="1" applyFill="1" applyBorder="1" applyAlignment="1">
      <alignment horizontal="right"/>
    </xf>
    <xf numFmtId="41" fontId="3" fillId="0" borderId="0" xfId="2" applyFont="1" applyFill="1" applyAlignment="1">
      <alignment horizontal="center"/>
    </xf>
    <xf numFmtId="165" fontId="3" fillId="0" borderId="31" xfId="2" applyNumberFormat="1" applyFont="1" applyFill="1" applyBorder="1" applyAlignment="1">
      <alignment horizontal="center"/>
    </xf>
    <xf numFmtId="165" fontId="3" fillId="0" borderId="30" xfId="2" applyNumberFormat="1" applyFont="1" applyFill="1" applyBorder="1" applyAlignment="1">
      <alignment horizontal="center"/>
    </xf>
    <xf numFmtId="1" fontId="3" fillId="0" borderId="37" xfId="2" applyNumberFormat="1" applyFont="1" applyFill="1" applyBorder="1" applyAlignment="1">
      <alignment horizontal="center"/>
    </xf>
    <xf numFmtId="1" fontId="3" fillId="0" borderId="23" xfId="2" applyNumberFormat="1" applyFont="1" applyFill="1" applyBorder="1" applyAlignment="1">
      <alignment horizontal="center"/>
    </xf>
    <xf numFmtId="1" fontId="3" fillId="0" borderId="20" xfId="2" applyNumberFormat="1" applyFont="1" applyFill="1" applyBorder="1" applyAlignment="1">
      <alignment horizontal="center"/>
    </xf>
    <xf numFmtId="1" fontId="3" fillId="0" borderId="0" xfId="2" applyNumberFormat="1" applyFont="1" applyFill="1" applyAlignment="1">
      <alignment horizontal="center"/>
    </xf>
    <xf numFmtId="41" fontId="3" fillId="0" borderId="0" xfId="2" applyFont="1" applyFill="1" applyAlignment="1">
      <alignment horizontal="center"/>
    </xf>
    <xf numFmtId="165" fontId="3" fillId="0" borderId="29" xfId="2" applyNumberFormat="1" applyFont="1" applyFill="1" applyBorder="1" applyAlignment="1">
      <alignment horizontal="center"/>
    </xf>
    <xf numFmtId="41" fontId="2" fillId="0" borderId="0" xfId="2" applyFont="1" applyFill="1" applyBorder="1" applyAlignment="1">
      <alignment horizontal="center"/>
    </xf>
    <xf numFmtId="41" fontId="2" fillId="0" borderId="0" xfId="2" applyFont="1" applyFill="1" applyAlignment="1">
      <alignment horizontal="center"/>
    </xf>
  </cellXfs>
  <cellStyles count="5">
    <cellStyle name="Migliaia" xfId="1" builtinId="3"/>
    <cellStyle name="Migliaia [0]" xfId="2" builtinId="6"/>
    <cellStyle name="Normale" xfId="0" builtinId="0"/>
    <cellStyle name="Percentuale" xfId="4" builtinId="5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9"/>
  <sheetViews>
    <sheetView tabSelected="1" topLeftCell="A91" zoomScaleNormal="100" zoomScaleSheetLayoutView="100" workbookViewId="0">
      <pane xSplit="1" topLeftCell="B1" activePane="topRight" state="frozen"/>
      <selection pane="topRight" activeCell="G21" sqref="G21"/>
    </sheetView>
  </sheetViews>
  <sheetFormatPr defaultColWidth="9.140625" defaultRowHeight="16.5" customHeight="1" x14ac:dyDescent="0.25"/>
  <cols>
    <col min="1" max="1" width="48.5703125" style="1" customWidth="1"/>
    <col min="2" max="2" width="11.28515625" style="1" bestFit="1" customWidth="1"/>
    <col min="3" max="3" width="11.28515625" style="91" bestFit="1" customWidth="1"/>
    <col min="4" max="4" width="11.28515625" style="1" bestFit="1" customWidth="1"/>
    <col min="5" max="5" width="10.28515625" style="91" bestFit="1" customWidth="1"/>
    <col min="6" max="6" width="11.140625" style="1" bestFit="1" customWidth="1"/>
    <col min="7" max="7" width="10.28515625" style="91" bestFit="1" customWidth="1"/>
    <col min="8" max="8" width="10.140625" style="1" bestFit="1" customWidth="1"/>
    <col min="9" max="9" width="9.7109375" style="91" bestFit="1" customWidth="1"/>
    <col min="10" max="10" width="10.7109375" style="72" bestFit="1" customWidth="1"/>
    <col min="11" max="11" width="11.28515625" style="1" bestFit="1" customWidth="1"/>
    <col min="12" max="12" width="11.140625" style="72" hidden="1" customWidth="1"/>
    <col min="13" max="13" width="10.28515625" style="1" hidden="1" customWidth="1"/>
    <col min="14" max="14" width="7.7109375" style="72" hidden="1" customWidth="1"/>
    <col min="15" max="15" width="7.7109375" style="1" hidden="1" customWidth="1"/>
    <col min="16" max="16" width="10.28515625" style="1" hidden="1" customWidth="1"/>
    <col min="17" max="17" width="9.28515625" style="1" hidden="1" customWidth="1"/>
    <col min="18" max="18" width="9.5703125" style="1" hidden="1" customWidth="1"/>
    <col min="19" max="19" width="6.85546875" style="1" hidden="1" customWidth="1"/>
    <col min="20" max="20" width="10.5703125" style="1" hidden="1" customWidth="1"/>
    <col min="21" max="21" width="22.28515625" style="1" hidden="1" customWidth="1"/>
    <col min="22" max="22" width="11" style="1" hidden="1" customWidth="1"/>
    <col min="23" max="23" width="20.42578125" style="1" hidden="1" customWidth="1"/>
    <col min="24" max="24" width="11.5703125" style="1" hidden="1" customWidth="1"/>
    <col min="25" max="25" width="11.7109375" style="1" hidden="1" customWidth="1"/>
    <col min="26" max="26" width="10.28515625" style="1" hidden="1" customWidth="1"/>
    <col min="27" max="27" width="11.7109375" style="1" hidden="1" customWidth="1"/>
    <col min="28" max="28" width="0" style="1" hidden="1" customWidth="1"/>
    <col min="29" max="16384" width="9.140625" style="1"/>
  </cols>
  <sheetData>
    <row r="1" spans="1:27" s="12" customFormat="1" ht="18" x14ac:dyDescent="0.25">
      <c r="A1" s="154" t="s">
        <v>44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13"/>
      <c r="Q1" s="113"/>
      <c r="R1" s="113"/>
      <c r="S1" s="113"/>
      <c r="T1" s="103"/>
      <c r="U1" s="103"/>
    </row>
    <row r="2" spans="1:27" s="12" customFormat="1" ht="18" x14ac:dyDescent="0.25">
      <c r="A2" s="154" t="s">
        <v>42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13"/>
      <c r="Q2" s="113"/>
      <c r="R2" s="113"/>
      <c r="S2" s="113"/>
      <c r="T2" s="103"/>
      <c r="U2" s="103"/>
    </row>
    <row r="3" spans="1:27" ht="16.5" customHeight="1" thickBot="1" x14ac:dyDescent="0.3">
      <c r="A3" s="13"/>
      <c r="B3" s="13"/>
      <c r="C3" s="80"/>
      <c r="D3" s="13"/>
      <c r="E3" s="80"/>
      <c r="F3" s="13"/>
      <c r="G3" s="80"/>
      <c r="H3" s="13"/>
      <c r="I3" s="80"/>
      <c r="J3" s="14"/>
      <c r="K3" s="13"/>
      <c r="L3" s="14"/>
      <c r="M3" s="13"/>
      <c r="N3" s="14"/>
      <c r="O3" s="13"/>
      <c r="P3" s="13"/>
      <c r="Q3" s="13"/>
      <c r="R3" s="13"/>
      <c r="S3" s="13"/>
      <c r="T3" s="13"/>
      <c r="U3" s="13"/>
    </row>
    <row r="4" spans="1:27" ht="16.5" customHeight="1" thickTop="1" thickBot="1" x14ac:dyDescent="0.3">
      <c r="A4" s="15" t="s">
        <v>0</v>
      </c>
      <c r="B4" s="146">
        <v>2018</v>
      </c>
      <c r="C4" s="147"/>
      <c r="D4" s="146">
        <v>2017</v>
      </c>
      <c r="E4" s="153"/>
      <c r="F4" s="146">
        <v>2016</v>
      </c>
      <c r="G4" s="147"/>
      <c r="H4" s="153">
        <v>2015</v>
      </c>
      <c r="I4" s="147"/>
      <c r="J4" s="153">
        <v>2014</v>
      </c>
      <c r="K4" s="147"/>
      <c r="L4" s="146">
        <v>2013</v>
      </c>
      <c r="M4" s="147"/>
      <c r="N4" s="146">
        <v>2012</v>
      </c>
      <c r="O4" s="147"/>
      <c r="P4" s="107"/>
      <c r="Q4" s="107"/>
      <c r="R4" s="107"/>
      <c r="S4" s="107"/>
      <c r="T4" s="107"/>
      <c r="U4" s="107"/>
    </row>
    <row r="5" spans="1:27" ht="16.5" customHeight="1" thickTop="1" x14ac:dyDescent="0.25">
      <c r="A5" s="16" t="s">
        <v>1</v>
      </c>
      <c r="B5" s="17"/>
      <c r="C5" s="18"/>
      <c r="D5" s="17"/>
      <c r="E5" s="132"/>
      <c r="F5" s="17"/>
      <c r="G5" s="18"/>
      <c r="H5" s="137"/>
      <c r="I5" s="18"/>
      <c r="J5" s="137"/>
      <c r="K5" s="18"/>
      <c r="L5" s="17"/>
      <c r="M5" s="18"/>
      <c r="N5" s="17"/>
      <c r="O5" s="18"/>
      <c r="P5" s="108"/>
      <c r="Q5" s="108"/>
      <c r="R5" s="108"/>
      <c r="S5" s="108"/>
      <c r="T5" s="108"/>
      <c r="U5" s="108"/>
    </row>
    <row r="6" spans="1:27" s="19" customFormat="1" ht="16.5" customHeight="1" x14ac:dyDescent="0.25">
      <c r="A6" s="96" t="s">
        <v>2</v>
      </c>
      <c r="B6" s="21">
        <f>+C7+C8</f>
        <v>0</v>
      </c>
      <c r="C6" s="22"/>
      <c r="D6" s="21">
        <f>+E7+E8</f>
        <v>0</v>
      </c>
      <c r="E6" s="133"/>
      <c r="F6" s="21">
        <f>+G7+G8</f>
        <v>0</v>
      </c>
      <c r="G6" s="22"/>
      <c r="H6" s="138">
        <f>+I7+I8</f>
        <v>113.98999999999995</v>
      </c>
      <c r="I6" s="22"/>
      <c r="J6" s="138">
        <f>+K7+K8</f>
        <v>227.96799999999996</v>
      </c>
      <c r="K6" s="22"/>
      <c r="L6" s="21">
        <f>+M7+M8</f>
        <v>341.952</v>
      </c>
      <c r="M6" s="22"/>
      <c r="N6" s="21">
        <f>+O7+O8</f>
        <v>455.93599999999998</v>
      </c>
      <c r="O6" s="22"/>
      <c r="P6" s="109"/>
      <c r="Q6" s="109"/>
      <c r="R6" s="109"/>
      <c r="S6" s="109"/>
      <c r="T6" s="109"/>
      <c r="U6" s="109"/>
    </row>
    <row r="7" spans="1:27" ht="16.5" customHeight="1" x14ac:dyDescent="0.25">
      <c r="A7" s="97" t="s">
        <v>3</v>
      </c>
      <c r="B7" s="23"/>
      <c r="C7" s="24">
        <f>+E7</f>
        <v>569.91999999999996</v>
      </c>
      <c r="D7" s="23"/>
      <c r="E7" s="134">
        <f>+G7</f>
        <v>569.91999999999996</v>
      </c>
      <c r="F7" s="23"/>
      <c r="G7" s="24">
        <f>+I7</f>
        <v>569.91999999999996</v>
      </c>
      <c r="H7" s="40"/>
      <c r="I7" s="24">
        <f>+K7</f>
        <v>569.91999999999996</v>
      </c>
      <c r="J7" s="40"/>
      <c r="K7" s="24">
        <f>+M7</f>
        <v>569.91999999999996</v>
      </c>
      <c r="L7" s="23"/>
      <c r="M7" s="24">
        <f>+O7</f>
        <v>569.91999999999996</v>
      </c>
      <c r="N7" s="23"/>
      <c r="O7" s="24">
        <f>168+14.62*8+168+14.62*8</f>
        <v>569.91999999999996</v>
      </c>
      <c r="P7" s="108"/>
      <c r="Q7" s="108"/>
      <c r="R7" s="108"/>
      <c r="S7" s="108"/>
      <c r="T7" s="108"/>
      <c r="U7" s="108"/>
    </row>
    <row r="8" spans="1:27" ht="16.5" customHeight="1" x14ac:dyDescent="0.25">
      <c r="A8" s="98" t="s">
        <v>17</v>
      </c>
      <c r="B8" s="25"/>
      <c r="C8" s="26">
        <f>-C7/5*5</f>
        <v>-569.91999999999996</v>
      </c>
      <c r="D8" s="25"/>
      <c r="E8" s="108">
        <f>-E7/5*5</f>
        <v>-569.91999999999996</v>
      </c>
      <c r="F8" s="25"/>
      <c r="G8" s="26">
        <f>+I8-X16</f>
        <v>-569.91999999999996</v>
      </c>
      <c r="H8" s="139"/>
      <c r="I8" s="26">
        <f>-341.95-X15</f>
        <v>-455.93</v>
      </c>
      <c r="J8" s="139"/>
      <c r="K8" s="26">
        <f>-K7/5*3</f>
        <v>-341.952</v>
      </c>
      <c r="L8" s="25"/>
      <c r="M8" s="26">
        <f>-M7/5*2</f>
        <v>-227.96799999999999</v>
      </c>
      <c r="N8" s="25"/>
      <c r="O8" s="26">
        <f>-(O7/5)</f>
        <v>-113.98399999999999</v>
      </c>
      <c r="P8" s="108"/>
      <c r="Q8" s="108"/>
      <c r="R8" s="108"/>
      <c r="S8" s="108"/>
      <c r="T8" s="108"/>
      <c r="U8" s="108"/>
      <c r="X8" s="76">
        <f>113.98+312.8+634.4/5</f>
        <v>553.66000000000008</v>
      </c>
    </row>
    <row r="9" spans="1:27" s="19" customFormat="1" ht="16.5" customHeight="1" x14ac:dyDescent="0.25">
      <c r="A9" s="98" t="s">
        <v>4</v>
      </c>
      <c r="B9" s="21">
        <f>+C12+C13</f>
        <v>0</v>
      </c>
      <c r="C9" s="7"/>
      <c r="D9" s="21">
        <f>+E12+E13</f>
        <v>126.87000000000035</v>
      </c>
      <c r="E9" s="110"/>
      <c r="F9" s="21">
        <f>+G12+G13</f>
        <v>566.55000000000018</v>
      </c>
      <c r="G9" s="7"/>
      <c r="H9" s="138">
        <f>+I12+I13</f>
        <v>1006.2300000000002</v>
      </c>
      <c r="I9" s="7"/>
      <c r="J9" s="138">
        <f>+K12+K13</f>
        <v>1445.92</v>
      </c>
      <c r="K9" s="7"/>
      <c r="L9" s="21">
        <f>+M12+M13</f>
        <v>1251.2</v>
      </c>
      <c r="M9" s="7"/>
      <c r="N9" s="21">
        <v>0</v>
      </c>
      <c r="O9" s="7"/>
      <c r="P9" s="110"/>
      <c r="Q9" s="110"/>
      <c r="R9" s="110"/>
      <c r="S9" s="110"/>
      <c r="T9" s="110"/>
      <c r="U9" s="110"/>
    </row>
    <row r="10" spans="1:27" ht="16.5" customHeight="1" x14ac:dyDescent="0.25">
      <c r="A10" s="99" t="s">
        <v>5</v>
      </c>
      <c r="B10" s="25"/>
      <c r="C10" s="7">
        <v>0</v>
      </c>
      <c r="D10" s="25"/>
      <c r="E10" s="110">
        <v>0</v>
      </c>
      <c r="F10" s="25"/>
      <c r="G10" s="7">
        <v>0</v>
      </c>
      <c r="H10" s="139"/>
      <c r="I10" s="7">
        <v>0</v>
      </c>
      <c r="J10" s="139"/>
      <c r="K10" s="7">
        <v>0</v>
      </c>
      <c r="L10" s="25"/>
      <c r="M10" s="7">
        <v>0</v>
      </c>
      <c r="N10" s="25"/>
      <c r="O10" s="7">
        <v>0</v>
      </c>
      <c r="P10" s="110"/>
      <c r="Q10" s="110"/>
      <c r="R10" s="110"/>
      <c r="S10" s="110"/>
      <c r="T10" s="110"/>
      <c r="U10" s="110"/>
    </row>
    <row r="11" spans="1:27" ht="16.5" customHeight="1" x14ac:dyDescent="0.25">
      <c r="A11" s="99" t="s">
        <v>6</v>
      </c>
      <c r="B11" s="25"/>
      <c r="C11" s="7">
        <v>0</v>
      </c>
      <c r="D11" s="25"/>
      <c r="E11" s="110">
        <v>0</v>
      </c>
      <c r="F11" s="25"/>
      <c r="G11" s="7">
        <v>0</v>
      </c>
      <c r="H11" s="139"/>
      <c r="I11" s="7">
        <v>0</v>
      </c>
      <c r="J11" s="139"/>
      <c r="K11" s="7">
        <v>0</v>
      </c>
      <c r="L11" s="25"/>
      <c r="M11" s="7">
        <v>0</v>
      </c>
      <c r="N11" s="25"/>
      <c r="O11" s="7">
        <v>0</v>
      </c>
      <c r="P11" s="110"/>
      <c r="Q11" s="110"/>
      <c r="R11" s="110"/>
      <c r="S11" s="110"/>
      <c r="T11" s="110"/>
      <c r="U11" s="110"/>
      <c r="W11" s="1" t="s">
        <v>82</v>
      </c>
      <c r="X11" s="1" t="s">
        <v>99</v>
      </c>
      <c r="Y11" s="1" t="s">
        <v>100</v>
      </c>
      <c r="Z11" s="1" t="s">
        <v>100</v>
      </c>
    </row>
    <row r="12" spans="1:27" ht="16.5" customHeight="1" x14ac:dyDescent="0.25">
      <c r="A12" s="99" t="s">
        <v>7</v>
      </c>
      <c r="B12" s="25"/>
      <c r="C12" s="26">
        <f>1165+399+534.4+100</f>
        <v>2198.4</v>
      </c>
      <c r="D12" s="25"/>
      <c r="E12" s="108">
        <f>1165+399+534.4+100</f>
        <v>2198.4</v>
      </c>
      <c r="F12" s="25"/>
      <c r="G12" s="26">
        <f>1165+399+534.4+100</f>
        <v>2198.4</v>
      </c>
      <c r="H12" s="139"/>
      <c r="I12" s="26">
        <f>1165+399+534.4+100</f>
        <v>2198.4</v>
      </c>
      <c r="J12" s="139"/>
      <c r="K12" s="26">
        <f>1165+399+534.4+100</f>
        <v>2198.4</v>
      </c>
      <c r="L12" s="25"/>
      <c r="M12" s="26">
        <f>1165+399</f>
        <v>1564</v>
      </c>
      <c r="N12" s="25"/>
      <c r="O12" s="26"/>
      <c r="P12" s="108"/>
      <c r="Q12" s="108"/>
      <c r="R12" s="108"/>
      <c r="S12" s="108"/>
      <c r="T12" s="108"/>
      <c r="U12" s="108"/>
      <c r="X12" s="76">
        <f>+O7</f>
        <v>569.91999999999996</v>
      </c>
      <c r="Y12" s="76">
        <v>1564</v>
      </c>
      <c r="Z12" s="76">
        <f>+K12-M12</f>
        <v>634.40000000000009</v>
      </c>
      <c r="AA12" s="95">
        <f>SUM(X12:Z12)</f>
        <v>2768.32</v>
      </c>
    </row>
    <row r="13" spans="1:27" ht="15.75" x14ac:dyDescent="0.25">
      <c r="A13" s="98" t="s">
        <v>18</v>
      </c>
      <c r="B13" s="25"/>
      <c r="C13" s="26">
        <f>-SUM(Y13:Z18)</f>
        <v>-2198.3999999999996</v>
      </c>
      <c r="D13" s="25"/>
      <c r="E13" s="108">
        <f>-SUM(Y13:Z17)</f>
        <v>-2071.5299999999997</v>
      </c>
      <c r="F13" s="25"/>
      <c r="G13" s="26">
        <v>-1631.85</v>
      </c>
      <c r="H13" s="139"/>
      <c r="I13" s="26">
        <f>+K13-Y15-Z15-0.01</f>
        <v>-1192.1699999999998</v>
      </c>
      <c r="J13" s="139"/>
      <c r="K13" s="26">
        <v>-752.48</v>
      </c>
      <c r="L13" s="25"/>
      <c r="M13" s="26">
        <f>-M12/5</f>
        <v>-312.8</v>
      </c>
      <c r="N13" s="25"/>
      <c r="O13" s="26">
        <f>-(O10+O11+O12)/5*5</f>
        <v>0</v>
      </c>
      <c r="P13" s="108"/>
      <c r="Q13" s="108"/>
      <c r="R13" s="108"/>
      <c r="S13" s="108"/>
      <c r="T13" s="108"/>
      <c r="U13" s="108"/>
      <c r="W13" s="79">
        <v>2013</v>
      </c>
      <c r="X13" s="76">
        <f>+$X$12/5*2</f>
        <v>227.96799999999999</v>
      </c>
      <c r="Y13" s="76">
        <f>+$Y$12/5</f>
        <v>312.8</v>
      </c>
      <c r="Z13" s="76"/>
      <c r="AA13" s="95">
        <f t="shared" ref="AA13:AA19" si="0">SUM(X13:Z13)</f>
        <v>540.76800000000003</v>
      </c>
    </row>
    <row r="14" spans="1:27" ht="15.75" x14ac:dyDescent="0.25">
      <c r="A14" s="100" t="s">
        <v>8</v>
      </c>
      <c r="B14" s="21">
        <f>SUM(B6:B13)</f>
        <v>0</v>
      </c>
      <c r="C14" s="26"/>
      <c r="D14" s="21">
        <f>SUM(D6:D13)</f>
        <v>126.87000000000035</v>
      </c>
      <c r="E14" s="108"/>
      <c r="F14" s="21">
        <f>SUM(F6:F13)</f>
        <v>566.55000000000018</v>
      </c>
      <c r="G14" s="26"/>
      <c r="H14" s="138">
        <f>SUM(H6:H13)</f>
        <v>1120.2200000000003</v>
      </c>
      <c r="I14" s="26"/>
      <c r="J14" s="138">
        <f>SUM(J6:J13)</f>
        <v>1673.8879999999999</v>
      </c>
      <c r="K14" s="26"/>
      <c r="L14" s="21">
        <f>SUM(L6:L13)</f>
        <v>1593.152</v>
      </c>
      <c r="M14" s="26"/>
      <c r="N14" s="21">
        <f>SUM(N6:N13)</f>
        <v>455.93599999999998</v>
      </c>
      <c r="O14" s="26"/>
      <c r="P14" s="108"/>
      <c r="Q14" s="108"/>
      <c r="R14" s="108"/>
      <c r="S14" s="108"/>
      <c r="T14" s="108"/>
      <c r="U14" s="108"/>
      <c r="V14" s="76"/>
      <c r="W14" s="79">
        <v>2014</v>
      </c>
      <c r="X14" s="76">
        <f t="shared" ref="X14" si="1">+$X$12/5</f>
        <v>113.98399999999999</v>
      </c>
      <c r="Y14" s="76">
        <f t="shared" ref="Y14" si="2">+$Y$12/5</f>
        <v>312.8</v>
      </c>
      <c r="Z14" s="76">
        <f>+$Z$12/5</f>
        <v>126.88000000000002</v>
      </c>
      <c r="AA14" s="95">
        <f t="shared" si="0"/>
        <v>553.66399999999999</v>
      </c>
    </row>
    <row r="15" spans="1:27" ht="15.75" x14ac:dyDescent="0.25">
      <c r="A15" s="100" t="s">
        <v>9</v>
      </c>
      <c r="B15" s="25"/>
      <c r="C15" s="26"/>
      <c r="D15" s="25"/>
      <c r="E15" s="108"/>
      <c r="F15" s="25"/>
      <c r="G15" s="26"/>
      <c r="H15" s="139"/>
      <c r="I15" s="26"/>
      <c r="J15" s="139"/>
      <c r="K15" s="26"/>
      <c r="L15" s="25"/>
      <c r="M15" s="26"/>
      <c r="N15" s="25"/>
      <c r="O15" s="26"/>
      <c r="P15" s="108"/>
      <c r="Q15" s="108"/>
      <c r="R15" s="108"/>
      <c r="S15" s="108"/>
      <c r="T15" s="108"/>
      <c r="U15" s="108"/>
      <c r="W15" s="79">
        <v>2015</v>
      </c>
      <c r="X15" s="76">
        <v>113.98</v>
      </c>
      <c r="Y15" s="76">
        <v>312.8</v>
      </c>
      <c r="Z15" s="76">
        <v>126.88</v>
      </c>
      <c r="AA15" s="95">
        <f t="shared" si="0"/>
        <v>553.66000000000008</v>
      </c>
    </row>
    <row r="16" spans="1:27" s="19" customFormat="1" ht="15.75" x14ac:dyDescent="0.25">
      <c r="A16" s="98" t="s">
        <v>10</v>
      </c>
      <c r="B16" s="25"/>
      <c r="C16" s="26"/>
      <c r="D16" s="25"/>
      <c r="E16" s="108"/>
      <c r="F16" s="25"/>
      <c r="G16" s="26"/>
      <c r="H16" s="139"/>
      <c r="I16" s="26"/>
      <c r="J16" s="139"/>
      <c r="K16" s="26"/>
      <c r="L16" s="25"/>
      <c r="M16" s="26"/>
      <c r="N16" s="25"/>
      <c r="O16" s="26"/>
      <c r="P16" s="108"/>
      <c r="Q16" s="108"/>
      <c r="R16" s="108"/>
      <c r="S16" s="108"/>
      <c r="T16" s="108"/>
      <c r="U16" s="108"/>
      <c r="W16" s="79">
        <v>2016</v>
      </c>
      <c r="X16" s="76">
        <v>113.99</v>
      </c>
      <c r="Y16" s="76">
        <v>312.8</v>
      </c>
      <c r="Z16" s="76">
        <v>126.88</v>
      </c>
      <c r="AA16" s="95">
        <f t="shared" si="0"/>
        <v>553.67000000000007</v>
      </c>
    </row>
    <row r="17" spans="1:28" s="19" customFormat="1" ht="15.75" x14ac:dyDescent="0.25">
      <c r="A17" s="98" t="s">
        <v>11</v>
      </c>
      <c r="B17" s="21">
        <f>SUM(C18:C19)</f>
        <v>0</v>
      </c>
      <c r="C17" s="26"/>
      <c r="D17" s="21">
        <f>SUM(E18:E19)</f>
        <v>0</v>
      </c>
      <c r="E17" s="108"/>
      <c r="F17" s="21">
        <f>SUM(G18:G19)</f>
        <v>0</v>
      </c>
      <c r="G17" s="26"/>
      <c r="H17" s="138">
        <f>SUM(I18:I19)</f>
        <v>0</v>
      </c>
      <c r="I17" s="26"/>
      <c r="J17" s="138">
        <f>SUM(K18:K19)</f>
        <v>0</v>
      </c>
      <c r="K17" s="26"/>
      <c r="L17" s="21">
        <f>SUM(M18:M19)</f>
        <v>0</v>
      </c>
      <c r="M17" s="26"/>
      <c r="N17" s="21">
        <f>SUM(O18:O19)</f>
        <v>0</v>
      </c>
      <c r="O17" s="26"/>
      <c r="P17" s="108"/>
      <c r="Q17" s="108"/>
      <c r="R17" s="108"/>
      <c r="S17" s="108"/>
      <c r="T17" s="108"/>
      <c r="U17" s="108"/>
      <c r="W17" s="79">
        <v>2017</v>
      </c>
      <c r="X17" s="76"/>
      <c r="Y17" s="76">
        <v>312.81</v>
      </c>
      <c r="Z17" s="76">
        <v>126.88</v>
      </c>
      <c r="AA17" s="95">
        <f t="shared" si="0"/>
        <v>439.69</v>
      </c>
    </row>
    <row r="18" spans="1:28" ht="15.75" x14ac:dyDescent="0.25">
      <c r="A18" s="98" t="s">
        <v>12</v>
      </c>
      <c r="B18" s="25"/>
      <c r="C18" s="28"/>
      <c r="D18" s="25"/>
      <c r="E18" s="116"/>
      <c r="F18" s="25"/>
      <c r="G18" s="28"/>
      <c r="H18" s="139"/>
      <c r="I18" s="28"/>
      <c r="J18" s="139"/>
      <c r="K18" s="28">
        <f>SUM(L19)</f>
        <v>0</v>
      </c>
      <c r="L18" s="25"/>
      <c r="M18" s="28">
        <f>SUM(N19)</f>
        <v>0</v>
      </c>
      <c r="N18" s="25"/>
      <c r="O18" s="28">
        <v>0</v>
      </c>
      <c r="P18" s="110"/>
      <c r="Q18" s="110"/>
      <c r="R18" s="110"/>
      <c r="S18" s="110"/>
      <c r="T18" s="110"/>
      <c r="U18" s="110"/>
      <c r="W18" s="79">
        <v>2018</v>
      </c>
      <c r="X18" s="76"/>
      <c r="Y18" s="76"/>
      <c r="Z18" s="76">
        <v>126.87</v>
      </c>
      <c r="AA18" s="95">
        <f t="shared" si="0"/>
        <v>126.87</v>
      </c>
    </row>
    <row r="19" spans="1:28" ht="15.75" x14ac:dyDescent="0.25">
      <c r="A19" s="99" t="s">
        <v>13</v>
      </c>
      <c r="B19" s="25"/>
      <c r="C19" s="28"/>
      <c r="D19" s="25"/>
      <c r="E19" s="116"/>
      <c r="F19" s="25"/>
      <c r="G19" s="28"/>
      <c r="H19" s="139"/>
      <c r="I19" s="28"/>
      <c r="J19" s="139"/>
      <c r="K19" s="28">
        <f>SUM(L21)</f>
        <v>0</v>
      </c>
      <c r="L19" s="25"/>
      <c r="M19" s="28">
        <f>SUM(N21)</f>
        <v>0</v>
      </c>
      <c r="N19" s="25"/>
      <c r="O19" s="28">
        <v>0</v>
      </c>
      <c r="P19" s="110"/>
      <c r="Q19" s="110"/>
      <c r="R19" s="110"/>
      <c r="S19" s="110"/>
      <c r="T19" s="110"/>
      <c r="U19" s="110"/>
      <c r="X19" s="76"/>
      <c r="Y19" s="76"/>
      <c r="Z19" s="76"/>
      <c r="AA19" s="95">
        <f t="shared" si="0"/>
        <v>0</v>
      </c>
    </row>
    <row r="20" spans="1:28" s="19" customFormat="1" ht="15.75" x14ac:dyDescent="0.25">
      <c r="A20" s="99" t="s">
        <v>39</v>
      </c>
      <c r="B20" s="29">
        <f>+SUM(C21:C25)</f>
        <v>30282.46</v>
      </c>
      <c r="C20" s="30"/>
      <c r="D20" s="29">
        <f>+SUM(E21:E25)</f>
        <v>23040.35</v>
      </c>
      <c r="E20" s="135"/>
      <c r="F20" s="29">
        <f>+SUM(G21:G25)</f>
        <v>15831.35</v>
      </c>
      <c r="G20" s="30"/>
      <c r="H20" s="140">
        <f>+SUM(I21:I25)</f>
        <v>9799.93</v>
      </c>
      <c r="I20" s="30"/>
      <c r="J20" s="140">
        <f>+SUM(K21:K23)</f>
        <v>8213.8799999999992</v>
      </c>
      <c r="K20" s="30"/>
      <c r="L20" s="29">
        <f>SUM(M21:M24)</f>
        <v>25907.11</v>
      </c>
      <c r="M20" s="30"/>
      <c r="N20" s="29">
        <v>0</v>
      </c>
      <c r="O20" s="30"/>
      <c r="P20" s="111"/>
      <c r="Q20" s="111"/>
      <c r="R20" s="111"/>
      <c r="S20" s="1">
        <v>2018</v>
      </c>
      <c r="T20" s="128" t="s">
        <v>107</v>
      </c>
      <c r="U20" s="128" t="s">
        <v>103</v>
      </c>
      <c r="V20" s="119" t="s">
        <v>105</v>
      </c>
      <c r="W20" s="1">
        <v>2015</v>
      </c>
      <c r="X20" s="95">
        <f>SUM(X13:X19)-X12</f>
        <v>2.0000000000663931E-3</v>
      </c>
      <c r="Y20" s="95">
        <f>SUM(Y13:Y19)-Y12</f>
        <v>9.9999999999909051E-3</v>
      </c>
      <c r="Z20" s="95">
        <f>SUM(Z13:Z19)-Z12</f>
        <v>-1.0000000000104592E-2</v>
      </c>
      <c r="AA20" s="95">
        <f>SUM(AA13:AA19)-AA12</f>
        <v>1.9999999999527063E-3</v>
      </c>
    </row>
    <row r="21" spans="1:28" ht="15.75" x14ac:dyDescent="0.25">
      <c r="A21" s="98" t="s">
        <v>104</v>
      </c>
      <c r="B21" s="21"/>
      <c r="C21" s="7">
        <f>+E21-S22</f>
        <v>1492.77</v>
      </c>
      <c r="D21" s="21"/>
      <c r="E21" s="110">
        <f>+G21-T21</f>
        <v>1492.77</v>
      </c>
      <c r="F21" s="21"/>
      <c r="G21" s="7">
        <f>+I21+U21</f>
        <v>1492.77</v>
      </c>
      <c r="H21" s="138"/>
      <c r="I21" s="7">
        <v>2066.14</v>
      </c>
      <c r="J21" s="138"/>
      <c r="K21" s="7">
        <f>1493</f>
        <v>1493</v>
      </c>
      <c r="L21" s="21"/>
      <c r="M21" s="7">
        <v>33.36</v>
      </c>
      <c r="N21" s="21"/>
      <c r="O21" s="7">
        <v>0</v>
      </c>
      <c r="P21" s="110"/>
      <c r="Q21" s="110"/>
      <c r="R21" s="110"/>
      <c r="T21" s="1">
        <v>0</v>
      </c>
      <c r="U21" s="120">
        <v>-573.37</v>
      </c>
      <c r="V21" s="121">
        <f>+I21+U21</f>
        <v>1492.77</v>
      </c>
      <c r="Y21" s="76"/>
      <c r="Z21" s="76"/>
      <c r="AA21" s="76"/>
      <c r="AB21" s="95"/>
    </row>
    <row r="22" spans="1:28" ht="16.5" customHeight="1" x14ac:dyDescent="0.25">
      <c r="A22" s="99" t="s">
        <v>80</v>
      </c>
      <c r="B22" s="21"/>
      <c r="C22" s="7">
        <f>+E22+7242.11</f>
        <v>27242.11</v>
      </c>
      <c r="D22" s="21"/>
      <c r="E22" s="110">
        <f>20000+G22-T22</f>
        <v>20000</v>
      </c>
      <c r="F22" s="21"/>
      <c r="G22" s="7">
        <f>7330+I22+U22</f>
        <v>12791</v>
      </c>
      <c r="H22" s="138"/>
      <c r="I22" s="7">
        <v>6461</v>
      </c>
      <c r="J22" s="138"/>
      <c r="K22" s="7">
        <f>5648.16+840.31</f>
        <v>6488.4699999999993</v>
      </c>
      <c r="L22" s="21"/>
      <c r="M22" s="7">
        <f>5677.75+15670</f>
        <v>21347.75</v>
      </c>
      <c r="N22" s="21"/>
      <c r="O22" s="7">
        <v>0</v>
      </c>
      <c r="P22" s="110"/>
      <c r="Q22" s="110"/>
      <c r="R22" s="110"/>
      <c r="S22" s="110"/>
      <c r="T22" s="110">
        <v>12791</v>
      </c>
      <c r="U22" s="116">
        <v>-1000</v>
      </c>
      <c r="V22" s="115">
        <f>+I22+U22+7330</f>
        <v>12791</v>
      </c>
      <c r="W22" s="106">
        <f>840.31+5486.2</f>
        <v>6326.51</v>
      </c>
      <c r="X22" s="1">
        <f>+K22-W22</f>
        <v>161.95999999999913</v>
      </c>
      <c r="Y22" s="76"/>
    </row>
    <row r="23" spans="1:28" ht="16.5" customHeight="1" x14ac:dyDescent="0.25">
      <c r="A23" s="99" t="s">
        <v>70</v>
      </c>
      <c r="B23" s="21"/>
      <c r="C23" s="7"/>
      <c r="D23" s="21"/>
      <c r="E23" s="110"/>
      <c r="F23" s="21"/>
      <c r="G23" s="7"/>
      <c r="H23" s="138"/>
      <c r="I23" s="7"/>
      <c r="J23" s="138"/>
      <c r="K23" s="7">
        <v>232.41</v>
      </c>
      <c r="L23" s="21"/>
      <c r="M23" s="7">
        <f>526</f>
        <v>526</v>
      </c>
      <c r="N23" s="21"/>
      <c r="O23" s="7"/>
      <c r="P23" s="110"/>
      <c r="Q23" s="110"/>
      <c r="R23" s="110"/>
      <c r="S23" s="110"/>
      <c r="T23" s="110"/>
      <c r="U23" s="116"/>
      <c r="V23" s="115"/>
      <c r="W23" s="105">
        <f>+K23</f>
        <v>232.41</v>
      </c>
      <c r="X23" s="1">
        <f>+K23-W23</f>
        <v>0</v>
      </c>
      <c r="Y23" s="76"/>
    </row>
    <row r="24" spans="1:28" ht="16.5" customHeight="1" x14ac:dyDescent="0.25">
      <c r="A24" s="99" t="s">
        <v>81</v>
      </c>
      <c r="B24" s="21"/>
      <c r="C24" s="7"/>
      <c r="D24" s="21"/>
      <c r="E24" s="110"/>
      <c r="F24" s="21"/>
      <c r="G24" s="7"/>
      <c r="H24" s="138"/>
      <c r="I24" s="7"/>
      <c r="J24" s="138"/>
      <c r="K24" s="7"/>
      <c r="L24" s="21"/>
      <c r="M24" s="7">
        <v>4000</v>
      </c>
      <c r="N24" s="21"/>
      <c r="O24" s="7"/>
      <c r="P24" s="110"/>
      <c r="Q24" s="110"/>
      <c r="R24" s="110"/>
      <c r="S24" s="110"/>
      <c r="T24" s="110"/>
      <c r="U24" s="116"/>
      <c r="V24" s="115"/>
    </row>
    <row r="25" spans="1:28" ht="16.5" customHeight="1" x14ac:dyDescent="0.25">
      <c r="A25" s="99" t="s">
        <v>101</v>
      </c>
      <c r="B25" s="21"/>
      <c r="C25" s="7">
        <f>+E25-S26</f>
        <v>1547.58</v>
      </c>
      <c r="D25" s="21"/>
      <c r="E25" s="110">
        <f>+G25-T25</f>
        <v>1547.58</v>
      </c>
      <c r="F25" s="21"/>
      <c r="G25" s="7">
        <f>+V25+28.37</f>
        <v>1547.58</v>
      </c>
      <c r="H25" s="138"/>
      <c r="I25" s="7">
        <f>5.57+1267.22</f>
        <v>1272.79</v>
      </c>
      <c r="J25" s="138"/>
      <c r="K25" s="7"/>
      <c r="L25" s="21"/>
      <c r="M25" s="7">
        <v>4000</v>
      </c>
      <c r="N25" s="21"/>
      <c r="O25" s="7"/>
      <c r="P25" s="110"/>
      <c r="Q25" s="110"/>
      <c r="R25" s="110"/>
      <c r="S25" s="110"/>
      <c r="T25" s="110"/>
      <c r="U25" s="129">
        <f>-229.51-5.57+482.5-1</f>
        <v>246.42000000000002</v>
      </c>
      <c r="V25" s="117">
        <f>+I25+U25</f>
        <v>1519.21</v>
      </c>
    </row>
    <row r="26" spans="1:28" s="19" customFormat="1" ht="16.5" customHeight="1" x14ac:dyDescent="0.25">
      <c r="A26" s="99" t="s">
        <v>34</v>
      </c>
      <c r="B26" s="21">
        <f>SUM(C27:C29)</f>
        <v>7825.55</v>
      </c>
      <c r="C26" s="24"/>
      <c r="D26" s="21">
        <f>SUM(E27:E29)</f>
        <v>10847.2</v>
      </c>
      <c r="E26" s="134"/>
      <c r="F26" s="21">
        <f>SUM(G27:G29)</f>
        <v>7532.5400000000009</v>
      </c>
      <c r="G26" s="24"/>
      <c r="H26" s="138">
        <f>SUM(I27:I29)</f>
        <v>7279.64</v>
      </c>
      <c r="I26" s="24"/>
      <c r="J26" s="139">
        <f>SUM(K27:K29)</f>
        <v>20686.410000000003</v>
      </c>
      <c r="K26" s="24"/>
      <c r="L26" s="25">
        <f>SUM(M27:M29)</f>
        <v>23208.53</v>
      </c>
      <c r="M26" s="24"/>
      <c r="N26" s="25">
        <f>SUM(O27:O29)</f>
        <v>-19</v>
      </c>
      <c r="O26" s="24"/>
      <c r="P26" s="108"/>
      <c r="Q26" s="108"/>
      <c r="R26" s="108"/>
      <c r="S26" s="108"/>
      <c r="T26" s="108"/>
      <c r="U26" s="108"/>
    </row>
    <row r="27" spans="1:28" ht="16.5" customHeight="1" x14ac:dyDescent="0.25">
      <c r="A27" s="98" t="s">
        <v>35</v>
      </c>
      <c r="B27" s="21"/>
      <c r="C27" s="7">
        <v>7573.03</v>
      </c>
      <c r="D27" s="21"/>
      <c r="E27" s="116">
        <v>10644.68</v>
      </c>
      <c r="F27" s="21"/>
      <c r="G27" s="28">
        <v>7380.02</v>
      </c>
      <c r="H27" s="138"/>
      <c r="I27" s="28">
        <f>-167.16+7341.63</f>
        <v>7174.47</v>
      </c>
      <c r="J27" s="139"/>
      <c r="K27" s="28">
        <f>6.99+20373.47</f>
        <v>20380.460000000003</v>
      </c>
      <c r="L27" s="25"/>
      <c r="M27" s="28">
        <v>23050.57</v>
      </c>
      <c r="N27" s="25"/>
      <c r="O27" s="28">
        <v>-24</v>
      </c>
      <c r="P27" s="110"/>
      <c r="Q27" s="110"/>
      <c r="R27" s="110"/>
      <c r="S27" s="110"/>
      <c r="T27" s="110"/>
      <c r="U27" s="110"/>
    </row>
    <row r="28" spans="1:28" ht="16.5" customHeight="1" x14ac:dyDescent="0.25">
      <c r="A28" s="99" t="s">
        <v>37</v>
      </c>
      <c r="B28" s="21"/>
      <c r="C28" s="28"/>
      <c r="D28" s="21"/>
      <c r="E28" s="116"/>
      <c r="F28" s="21"/>
      <c r="G28" s="28"/>
      <c r="H28" s="138"/>
      <c r="I28" s="28"/>
      <c r="J28" s="139"/>
      <c r="K28" s="28"/>
      <c r="L28" s="25"/>
      <c r="M28" s="28"/>
      <c r="N28" s="25"/>
      <c r="O28" s="28"/>
      <c r="P28" s="110"/>
      <c r="Q28" s="110"/>
      <c r="R28" s="110"/>
      <c r="S28" s="110"/>
      <c r="T28" s="110"/>
      <c r="U28" s="110"/>
    </row>
    <row r="29" spans="1:28" ht="16.5" customHeight="1" x14ac:dyDescent="0.25">
      <c r="A29" s="99" t="s">
        <v>36</v>
      </c>
      <c r="B29" s="21"/>
      <c r="C29" s="28">
        <v>252.52</v>
      </c>
      <c r="D29" s="21"/>
      <c r="E29" s="116">
        <v>202.52</v>
      </c>
      <c r="F29" s="21"/>
      <c r="G29" s="28">
        <v>152.52000000000001</v>
      </c>
      <c r="H29" s="138"/>
      <c r="I29" s="28">
        <v>105.17</v>
      </c>
      <c r="J29" s="139"/>
      <c r="K29" s="28">
        <v>305.95</v>
      </c>
      <c r="L29" s="25"/>
      <c r="M29" s="28">
        <v>157.96</v>
      </c>
      <c r="N29" s="25"/>
      <c r="O29" s="28">
        <v>5</v>
      </c>
      <c r="P29" s="110"/>
      <c r="Q29" s="110"/>
      <c r="R29" s="110"/>
      <c r="S29" s="110"/>
      <c r="T29" s="110"/>
      <c r="U29" s="110"/>
    </row>
    <row r="30" spans="1:28" ht="16.5" customHeight="1" x14ac:dyDescent="0.25">
      <c r="A30" s="99"/>
      <c r="B30" s="21"/>
      <c r="C30" s="7"/>
      <c r="D30" s="21"/>
      <c r="E30" s="110"/>
      <c r="F30" s="21"/>
      <c r="G30" s="7"/>
      <c r="H30" s="138"/>
      <c r="I30" s="7"/>
      <c r="J30" s="139"/>
      <c r="K30" s="7"/>
      <c r="L30" s="25"/>
      <c r="M30" s="7"/>
      <c r="N30" s="25"/>
      <c r="O30" s="7"/>
      <c r="P30" s="110"/>
      <c r="Q30" s="110"/>
      <c r="R30" s="110"/>
      <c r="S30" s="110"/>
      <c r="T30" s="110"/>
      <c r="U30" s="110"/>
    </row>
    <row r="31" spans="1:28" ht="16.5" customHeight="1" x14ac:dyDescent="0.25">
      <c r="A31" s="99"/>
      <c r="B31" s="21"/>
      <c r="C31" s="7"/>
      <c r="D31" s="21"/>
      <c r="E31" s="110"/>
      <c r="F31" s="21"/>
      <c r="G31" s="7"/>
      <c r="H31" s="138"/>
      <c r="I31" s="7"/>
      <c r="J31" s="139"/>
      <c r="K31" s="7"/>
      <c r="L31" s="25"/>
      <c r="M31" s="7"/>
      <c r="N31" s="25"/>
      <c r="O31" s="7"/>
      <c r="P31" s="110"/>
      <c r="Q31" s="110"/>
      <c r="R31" s="110"/>
      <c r="S31" s="110"/>
      <c r="T31" s="110"/>
      <c r="U31" s="110"/>
    </row>
    <row r="32" spans="1:28" s="12" customFormat="1" ht="16.5" customHeight="1" x14ac:dyDescent="0.25">
      <c r="A32" s="99" t="s">
        <v>14</v>
      </c>
      <c r="B32" s="25">
        <f>SUM(B16:B29)</f>
        <v>38108.01</v>
      </c>
      <c r="C32" s="31"/>
      <c r="D32" s="25">
        <f>SUM(D16:D29)</f>
        <v>33887.550000000003</v>
      </c>
      <c r="E32" s="86"/>
      <c r="F32" s="25">
        <f>SUM(F16:F29)</f>
        <v>23363.89</v>
      </c>
      <c r="G32" s="31"/>
      <c r="H32" s="139">
        <f>SUM(H16:H29)</f>
        <v>17079.57</v>
      </c>
      <c r="I32" s="31"/>
      <c r="J32" s="139">
        <f>SUM(J16:J29)</f>
        <v>28900.29</v>
      </c>
      <c r="K32" s="31"/>
      <c r="L32" s="25">
        <f>SUM(L16:L29)</f>
        <v>49115.64</v>
      </c>
      <c r="M32" s="31"/>
      <c r="N32" s="25">
        <f>+N26</f>
        <v>-19</v>
      </c>
      <c r="O32" s="31"/>
      <c r="P32" s="86"/>
      <c r="Q32" s="86"/>
      <c r="R32" s="86"/>
      <c r="S32" s="86"/>
      <c r="T32" s="86"/>
      <c r="U32" s="86"/>
    </row>
    <row r="33" spans="1:24" s="12" customFormat="1" ht="16.5" customHeight="1" x14ac:dyDescent="0.25">
      <c r="A33" s="101" t="s">
        <v>79</v>
      </c>
      <c r="B33" s="32"/>
      <c r="C33" s="33"/>
      <c r="D33" s="32"/>
      <c r="E33" s="136"/>
      <c r="F33" s="32"/>
      <c r="G33" s="33"/>
      <c r="H33" s="141"/>
      <c r="I33" s="33"/>
      <c r="J33" s="141">
        <v>725.25</v>
      </c>
      <c r="K33" s="33"/>
      <c r="L33" s="32">
        <v>1049.5999999999999</v>
      </c>
      <c r="M33" s="33"/>
      <c r="N33" s="32"/>
      <c r="O33" s="33"/>
      <c r="P33" s="86"/>
      <c r="Q33" s="86"/>
      <c r="R33" s="86"/>
      <c r="S33" s="86"/>
      <c r="T33" s="86"/>
      <c r="U33" s="86"/>
    </row>
    <row r="34" spans="1:24" s="12" customFormat="1" ht="16.5" customHeight="1" thickBot="1" x14ac:dyDescent="0.3">
      <c r="A34" s="34" t="s">
        <v>15</v>
      </c>
      <c r="B34" s="35">
        <f>+B14+B32+B33</f>
        <v>38108.01</v>
      </c>
      <c r="C34" s="83"/>
      <c r="D34" s="35">
        <f>+D14+D32+D33</f>
        <v>34014.420000000006</v>
      </c>
      <c r="E34" s="83"/>
      <c r="F34" s="46">
        <f>+F14+F32+F33</f>
        <v>23930.44</v>
      </c>
      <c r="G34" s="36"/>
      <c r="H34" s="35">
        <f>+H14+H32+H33</f>
        <v>18199.79</v>
      </c>
      <c r="I34" s="36"/>
      <c r="J34" s="35">
        <f>+J14+J32+J33</f>
        <v>31299.428</v>
      </c>
      <c r="K34" s="36"/>
      <c r="L34" s="35">
        <f>+L14+L32+L33</f>
        <v>51758.392</v>
      </c>
      <c r="M34" s="36"/>
      <c r="N34" s="35">
        <f>+N14+N32</f>
        <v>436.93599999999998</v>
      </c>
      <c r="O34" s="36"/>
      <c r="P34" s="86">
        <f>+D34-E8-E13</f>
        <v>36655.870000000003</v>
      </c>
      <c r="Q34" s="86"/>
      <c r="R34" s="86"/>
      <c r="S34" s="86"/>
      <c r="T34" s="86"/>
      <c r="U34" s="86"/>
    </row>
    <row r="35" spans="1:24" ht="16.5" customHeight="1" thickTop="1" x14ac:dyDescent="0.25">
      <c r="A35" s="37"/>
      <c r="B35" s="38"/>
      <c r="C35" s="84"/>
      <c r="D35" s="38"/>
      <c r="E35" s="84"/>
      <c r="F35" s="38"/>
      <c r="G35" s="84"/>
      <c r="H35" s="144"/>
      <c r="I35" s="142"/>
      <c r="J35" s="38"/>
      <c r="K35" s="39"/>
      <c r="L35" s="40"/>
      <c r="M35" s="39"/>
      <c r="N35" s="40"/>
      <c r="O35" s="39"/>
      <c r="P35" s="108"/>
      <c r="Q35" s="108"/>
      <c r="R35" s="108"/>
      <c r="S35" s="108"/>
      <c r="T35" s="108"/>
      <c r="U35" s="108"/>
    </row>
    <row r="36" spans="1:24" ht="16.5" customHeight="1" x14ac:dyDescent="0.25">
      <c r="A36" s="27" t="s">
        <v>16</v>
      </c>
      <c r="B36" s="23"/>
      <c r="C36" s="81"/>
      <c r="D36" s="23"/>
      <c r="E36" s="81"/>
      <c r="F36" s="23"/>
      <c r="G36" s="81"/>
      <c r="H36" s="25"/>
      <c r="I36" s="31"/>
      <c r="J36" s="23"/>
      <c r="K36" s="24"/>
      <c r="L36" s="40"/>
      <c r="M36" s="24"/>
      <c r="N36" s="40"/>
      <c r="O36" s="24"/>
      <c r="P36" s="108"/>
      <c r="Q36" s="108"/>
      <c r="R36" s="108"/>
      <c r="S36" s="108"/>
      <c r="T36" s="108"/>
      <c r="U36" s="108"/>
    </row>
    <row r="37" spans="1:24" ht="16.5" customHeight="1" x14ac:dyDescent="0.25">
      <c r="A37" s="2" t="s">
        <v>38</v>
      </c>
      <c r="B37" s="23">
        <f>C38+C39</f>
        <v>36651.805999999982</v>
      </c>
      <c r="C37" s="82"/>
      <c r="D37" s="23">
        <f>E38+E39</f>
        <v>31348.905999999981</v>
      </c>
      <c r="E37" s="82"/>
      <c r="F37" s="23">
        <f>G38+G39</f>
        <v>23879.055999999982</v>
      </c>
      <c r="G37" s="82"/>
      <c r="H37" s="25">
        <f>I38+I39</f>
        <v>16825.395999999979</v>
      </c>
      <c r="I37" s="26"/>
      <c r="J37" s="23">
        <f>K38+K39</f>
        <v>16862.405999999981</v>
      </c>
      <c r="K37" s="24"/>
      <c r="L37" s="40">
        <f>M38+M39</f>
        <v>5722.855999999987</v>
      </c>
      <c r="M37" s="24"/>
      <c r="N37" s="40">
        <f>O38+O39</f>
        <v>-402.19399999999996</v>
      </c>
      <c r="O37" s="24"/>
      <c r="P37" s="108"/>
      <c r="Q37" s="108"/>
      <c r="R37" s="108"/>
      <c r="S37" s="108"/>
      <c r="T37" s="108"/>
      <c r="U37" s="108"/>
    </row>
    <row r="38" spans="1:24" ht="16.5" customHeight="1" x14ac:dyDescent="0.25">
      <c r="A38" s="2" t="s">
        <v>40</v>
      </c>
      <c r="B38" s="25"/>
      <c r="C38" s="82">
        <f>+D37</f>
        <v>31348.905999999981</v>
      </c>
      <c r="D38" s="25"/>
      <c r="E38" s="82">
        <f>+F37</f>
        <v>23879.055999999982</v>
      </c>
      <c r="F38" s="25"/>
      <c r="G38" s="82">
        <f>+H37</f>
        <v>16825.395999999979</v>
      </c>
      <c r="H38" s="25"/>
      <c r="I38" s="26">
        <f>+J37</f>
        <v>16862.405999999981</v>
      </c>
      <c r="J38" s="25"/>
      <c r="K38" s="28">
        <f>+L37</f>
        <v>5722.855999999987</v>
      </c>
      <c r="L38" s="23"/>
      <c r="M38" s="28">
        <f>+N37</f>
        <v>-402.19399999999996</v>
      </c>
      <c r="N38" s="25"/>
      <c r="O38" s="28"/>
      <c r="P38" s="110"/>
      <c r="Q38" s="110"/>
      <c r="R38" s="110"/>
      <c r="S38" s="110"/>
      <c r="T38" s="110"/>
      <c r="U38" s="110"/>
    </row>
    <row r="39" spans="1:24" ht="16.5" customHeight="1" x14ac:dyDescent="0.25">
      <c r="A39" s="2" t="s">
        <v>84</v>
      </c>
      <c r="B39" s="25"/>
      <c r="C39" s="82">
        <f>+B105</f>
        <v>5302.9000000000005</v>
      </c>
      <c r="D39" s="25"/>
      <c r="E39" s="82">
        <f>+D105</f>
        <v>7469.8499999999995</v>
      </c>
      <c r="F39" s="25"/>
      <c r="G39" s="82">
        <f>+F105</f>
        <v>7053.6600000000017</v>
      </c>
      <c r="H39" s="25"/>
      <c r="I39" s="26">
        <f>+H105</f>
        <v>-37.010000000000218</v>
      </c>
      <c r="J39" s="25"/>
      <c r="K39" s="28">
        <f>+J105</f>
        <v>11139.549999999992</v>
      </c>
      <c r="L39" s="23"/>
      <c r="M39" s="28">
        <f>+L105</f>
        <v>6125.0499999999865</v>
      </c>
      <c r="N39" s="25"/>
      <c r="O39" s="28">
        <f>+N105</f>
        <v>-402.19399999999996</v>
      </c>
      <c r="P39" s="110"/>
      <c r="Q39" s="110"/>
      <c r="R39" s="110"/>
      <c r="S39" s="110"/>
      <c r="T39" s="110"/>
      <c r="U39" s="110"/>
    </row>
    <row r="40" spans="1:24" ht="16.5" customHeight="1" x14ac:dyDescent="0.25">
      <c r="A40" s="2" t="s">
        <v>41</v>
      </c>
      <c r="B40" s="21">
        <f>SUM(C41:C49)</f>
        <v>1262.31</v>
      </c>
      <c r="C40" s="82"/>
      <c r="D40" s="21">
        <f>SUM(E41:E49)</f>
        <v>2665.51</v>
      </c>
      <c r="E40" s="82"/>
      <c r="F40" s="21">
        <f>SUM(G41:G49)</f>
        <v>51.379999999999995</v>
      </c>
      <c r="G40" s="82"/>
      <c r="H40" s="21">
        <f>SUM(I41:I49)</f>
        <v>1374.39</v>
      </c>
      <c r="I40" s="26"/>
      <c r="J40" s="21">
        <f>SUM(K41:K49)</f>
        <v>8843.369999999999</v>
      </c>
      <c r="K40" s="26"/>
      <c r="L40" s="21">
        <f>SUM(M41:M49)</f>
        <v>25558.54</v>
      </c>
      <c r="M40" s="24"/>
      <c r="N40" s="21">
        <f>SUM(O41:O49)</f>
        <v>839.13</v>
      </c>
      <c r="O40" s="26"/>
      <c r="P40" s="150">
        <v>2018</v>
      </c>
      <c r="Q40" s="151"/>
      <c r="R40" s="148">
        <v>2017</v>
      </c>
      <c r="S40" s="149"/>
      <c r="T40" s="148" t="s">
        <v>102</v>
      </c>
      <c r="U40" s="149"/>
      <c r="V40" s="118">
        <v>2014</v>
      </c>
      <c r="W40" s="119"/>
    </row>
    <row r="41" spans="1:24" ht="16.5" customHeight="1" x14ac:dyDescent="0.25">
      <c r="A41" s="2" t="s">
        <v>68</v>
      </c>
      <c r="B41" s="41"/>
      <c r="C41" s="82">
        <v>33.64</v>
      </c>
      <c r="D41" s="41"/>
      <c r="E41" s="82">
        <v>0</v>
      </c>
      <c r="F41" s="41"/>
      <c r="G41" s="82">
        <v>0</v>
      </c>
      <c r="H41" s="41"/>
      <c r="I41" s="26">
        <f>90.86</f>
        <v>90.86</v>
      </c>
      <c r="J41" s="41"/>
      <c r="K41" s="7">
        <f>1329.99+354.03+246.8-161.96</f>
        <v>1768.86</v>
      </c>
      <c r="L41" s="42"/>
      <c r="M41" s="28">
        <v>1805.82</v>
      </c>
      <c r="N41" s="41"/>
      <c r="O41" s="7">
        <v>0</v>
      </c>
      <c r="P41" s="110"/>
      <c r="Q41" s="110"/>
      <c r="R41" s="116"/>
      <c r="S41" s="115"/>
      <c r="T41" s="126">
        <v>90.86</v>
      </c>
      <c r="U41" s="115">
        <f>+I41-T41</f>
        <v>0</v>
      </c>
      <c r="V41" s="120">
        <f>153.08+1615.78</f>
        <v>1768.86</v>
      </c>
      <c r="W41" s="115">
        <f>+K41-V41</f>
        <v>0</v>
      </c>
    </row>
    <row r="42" spans="1:24" ht="16.5" customHeight="1" x14ac:dyDescent="0.25">
      <c r="A42" s="2" t="s">
        <v>19</v>
      </c>
      <c r="B42" s="42"/>
      <c r="C42" s="82">
        <v>0</v>
      </c>
      <c r="D42" s="42"/>
      <c r="E42" s="82">
        <v>0</v>
      </c>
      <c r="F42" s="42"/>
      <c r="G42" s="82">
        <v>0</v>
      </c>
      <c r="H42" s="41"/>
      <c r="I42" s="26">
        <v>0</v>
      </c>
      <c r="J42" s="42"/>
      <c r="K42" s="28">
        <v>0</v>
      </c>
      <c r="L42" s="43"/>
      <c r="M42" s="28">
        <v>2414</v>
      </c>
      <c r="N42" s="43"/>
      <c r="O42" s="28">
        <v>0</v>
      </c>
      <c r="P42" s="110"/>
      <c r="Q42" s="110"/>
      <c r="R42" s="116"/>
      <c r="S42" s="115"/>
      <c r="T42" s="116"/>
      <c r="U42" s="115">
        <f t="shared" ref="U42:U48" si="3">+I42-T42</f>
        <v>0</v>
      </c>
      <c r="V42" s="120"/>
      <c r="W42" s="121"/>
    </row>
    <row r="43" spans="1:24" ht="16.5" customHeight="1" x14ac:dyDescent="0.25">
      <c r="A43" s="2" t="s">
        <v>45</v>
      </c>
      <c r="B43" s="42"/>
      <c r="C43" s="82">
        <v>0</v>
      </c>
      <c r="D43" s="42"/>
      <c r="E43" s="82">
        <v>0</v>
      </c>
      <c r="F43" s="42"/>
      <c r="G43" s="82">
        <v>0</v>
      </c>
      <c r="H43" s="41"/>
      <c r="I43" s="26">
        <v>0</v>
      </c>
      <c r="J43" s="42"/>
      <c r="K43" s="28">
        <v>720.63</v>
      </c>
      <c r="L43" s="43"/>
      <c r="M43" s="28">
        <v>8334.2900000000009</v>
      </c>
      <c r="N43" s="43"/>
      <c r="O43" s="28">
        <v>11.21</v>
      </c>
      <c r="P43" s="110"/>
      <c r="Q43" s="110"/>
      <c r="R43" s="116"/>
      <c r="S43" s="115"/>
      <c r="T43" s="116"/>
      <c r="U43" s="115">
        <f t="shared" si="3"/>
        <v>0</v>
      </c>
      <c r="V43" s="122">
        <v>720.62</v>
      </c>
      <c r="W43" s="121">
        <f>+K43-V43</f>
        <v>9.9999999999909051E-3</v>
      </c>
    </row>
    <row r="44" spans="1:24" ht="16.5" customHeight="1" x14ac:dyDescent="0.25">
      <c r="A44" s="2" t="s">
        <v>67</v>
      </c>
      <c r="B44" s="42"/>
      <c r="C44" s="82">
        <f>366.33+23.32+4.62</f>
        <v>394.27</v>
      </c>
      <c r="D44" s="42"/>
      <c r="E44" s="82">
        <v>23.32</v>
      </c>
      <c r="F44" s="42"/>
      <c r="G44" s="82">
        <v>23.32</v>
      </c>
      <c r="H44" s="41"/>
      <c r="I44" s="26">
        <v>23.32</v>
      </c>
      <c r="J44" s="42"/>
      <c r="K44" s="28">
        <v>1329.22</v>
      </c>
      <c r="L44" s="43"/>
      <c r="M44" s="28">
        <f>129.07+1759</f>
        <v>1888.07</v>
      </c>
      <c r="N44" s="43"/>
      <c r="O44" s="28"/>
      <c r="P44" s="110"/>
      <c r="Q44" s="110"/>
      <c r="R44" s="116"/>
      <c r="S44" s="115"/>
      <c r="T44" s="116">
        <f>482</f>
        <v>482</v>
      </c>
      <c r="U44" s="115">
        <f t="shared" si="3"/>
        <v>-458.68</v>
      </c>
      <c r="V44" s="123">
        <f>14.14+1315.08</f>
        <v>1329.22</v>
      </c>
      <c r="W44" s="121">
        <f>+K44-V44</f>
        <v>0</v>
      </c>
      <c r="X44" s="76"/>
    </row>
    <row r="45" spans="1:24" ht="16.5" customHeight="1" x14ac:dyDescent="0.25">
      <c r="A45" s="2" t="s">
        <v>73</v>
      </c>
      <c r="B45" s="42"/>
      <c r="C45" s="82">
        <v>0</v>
      </c>
      <c r="D45" s="42"/>
      <c r="E45" s="82">
        <v>0</v>
      </c>
      <c r="F45" s="42"/>
      <c r="G45" s="82">
        <v>0</v>
      </c>
      <c r="H45" s="41"/>
      <c r="I45" s="26">
        <f>+K45-200</f>
        <v>0</v>
      </c>
      <c r="J45" s="42"/>
      <c r="K45" s="28">
        <v>200</v>
      </c>
      <c r="L45" s="43"/>
      <c r="M45" s="28">
        <v>3900.33</v>
      </c>
      <c r="N45" s="43"/>
      <c r="O45" s="28"/>
      <c r="P45" s="110"/>
      <c r="Q45" s="110"/>
      <c r="R45" s="116"/>
      <c r="S45" s="115"/>
      <c r="T45" s="116"/>
      <c r="U45" s="115">
        <f t="shared" si="3"/>
        <v>0</v>
      </c>
      <c r="V45" s="122">
        <v>200</v>
      </c>
      <c r="W45" s="121">
        <f>+K45-V45</f>
        <v>0</v>
      </c>
    </row>
    <row r="46" spans="1:24" ht="16.5" customHeight="1" x14ac:dyDescent="0.25">
      <c r="A46" s="2" t="s">
        <v>69</v>
      </c>
      <c r="B46" s="42"/>
      <c r="C46" s="82">
        <v>807</v>
      </c>
      <c r="D46" s="42"/>
      <c r="E46" s="82">
        <v>0</v>
      </c>
      <c r="F46" s="42"/>
      <c r="G46" s="82">
        <v>0</v>
      </c>
      <c r="H46" s="41"/>
      <c r="I46" s="26">
        <v>1207</v>
      </c>
      <c r="J46" s="42"/>
      <c r="K46" s="28">
        <f>1005+2666.99</f>
        <v>3671.99</v>
      </c>
      <c r="L46" s="43"/>
      <c r="M46" s="28">
        <f>157+6030</f>
        <v>6187</v>
      </c>
      <c r="N46" s="43"/>
      <c r="O46" s="28"/>
      <c r="P46" s="110"/>
      <c r="Q46" s="110"/>
      <c r="R46" s="116"/>
      <c r="S46" s="115"/>
      <c r="T46" s="126">
        <v>1207</v>
      </c>
      <c r="U46" s="115">
        <f t="shared" si="3"/>
        <v>0</v>
      </c>
      <c r="V46" s="122">
        <v>3671.99</v>
      </c>
      <c r="W46" s="121">
        <f>+K46-V46</f>
        <v>0</v>
      </c>
    </row>
    <row r="47" spans="1:24" ht="16.5" customHeight="1" x14ac:dyDescent="0.25">
      <c r="A47" s="2" t="s">
        <v>32</v>
      </c>
      <c r="B47" s="42"/>
      <c r="C47" s="82"/>
      <c r="D47" s="42"/>
      <c r="E47" s="82"/>
      <c r="F47" s="42"/>
      <c r="G47" s="82"/>
      <c r="H47" s="41"/>
      <c r="I47" s="26"/>
      <c r="J47" s="42"/>
      <c r="K47" s="28">
        <v>1152.67</v>
      </c>
      <c r="L47" s="43"/>
      <c r="M47" s="28">
        <v>1029.03</v>
      </c>
      <c r="N47" s="43"/>
      <c r="O47" s="28">
        <v>827.92</v>
      </c>
      <c r="P47" s="110"/>
      <c r="Q47" s="110"/>
      <c r="R47" s="116"/>
      <c r="S47" s="115"/>
      <c r="T47" s="116"/>
      <c r="U47" s="115">
        <f t="shared" si="3"/>
        <v>0</v>
      </c>
      <c r="V47" s="120"/>
      <c r="W47" s="121"/>
    </row>
    <row r="48" spans="1:24" ht="16.5" customHeight="1" x14ac:dyDescent="0.25">
      <c r="A48" s="2" t="s">
        <v>83</v>
      </c>
      <c r="B48" s="42"/>
      <c r="C48" s="82">
        <v>27.4</v>
      </c>
      <c r="D48" s="42"/>
      <c r="E48" s="82">
        <v>29.68</v>
      </c>
      <c r="F48" s="42"/>
      <c r="G48" s="82">
        <v>28.06</v>
      </c>
      <c r="H48" s="41"/>
      <c r="I48" s="26">
        <v>53.21</v>
      </c>
      <c r="J48" s="42"/>
      <c r="K48" s="28"/>
      <c r="L48" s="43"/>
      <c r="M48" s="28"/>
      <c r="N48" s="43"/>
      <c r="O48" s="28"/>
      <c r="P48" s="110">
        <v>29.67</v>
      </c>
      <c r="Q48" s="110">
        <f>+E48-P48</f>
        <v>9.9999999999980105E-3</v>
      </c>
      <c r="R48" s="129">
        <v>28.05</v>
      </c>
      <c r="S48" s="117">
        <f>+G48-R48</f>
        <v>9.9999999999980105E-3</v>
      </c>
      <c r="T48" s="127">
        <f>167.16+53.2</f>
        <v>220.36</v>
      </c>
      <c r="U48" s="117">
        <f t="shared" si="3"/>
        <v>-167.15</v>
      </c>
      <c r="V48" s="124"/>
      <c r="W48" s="125"/>
    </row>
    <row r="49" spans="1:23" ht="16.5" customHeight="1" x14ac:dyDescent="0.25">
      <c r="A49" s="2" t="s">
        <v>106</v>
      </c>
      <c r="B49" s="42"/>
      <c r="C49" s="82"/>
      <c r="D49" s="42"/>
      <c r="E49" s="82">
        <v>2612.5100000000002</v>
      </c>
      <c r="F49" s="42"/>
      <c r="G49" s="82"/>
      <c r="H49" s="41"/>
      <c r="I49" s="26"/>
      <c r="J49" s="42"/>
      <c r="K49" s="7"/>
      <c r="L49" s="43"/>
      <c r="M49" s="28"/>
      <c r="N49" s="43"/>
      <c r="O49" s="7"/>
      <c r="P49" s="110"/>
      <c r="Q49" s="110"/>
      <c r="R49" s="110"/>
      <c r="S49" s="110"/>
      <c r="T49" s="130"/>
      <c r="U49" s="110"/>
      <c r="V49" s="71"/>
      <c r="W49" s="71"/>
    </row>
    <row r="50" spans="1:23" ht="16.5" customHeight="1" x14ac:dyDescent="0.25">
      <c r="A50" s="2" t="s">
        <v>61</v>
      </c>
      <c r="B50" s="21">
        <f>+D50+C83</f>
        <v>193.89</v>
      </c>
      <c r="C50" s="82"/>
      <c r="D50" s="21">
        <v>0</v>
      </c>
      <c r="E50" s="82"/>
      <c r="F50" s="21">
        <v>0</v>
      </c>
      <c r="G50" s="82"/>
      <c r="H50" s="21">
        <v>0</v>
      </c>
      <c r="I50" s="26"/>
      <c r="J50" s="21">
        <v>1340.65</v>
      </c>
      <c r="K50" s="26"/>
      <c r="L50" s="44">
        <v>1477</v>
      </c>
      <c r="M50" s="24"/>
      <c r="N50" s="21"/>
      <c r="O50" s="26">
        <v>0</v>
      </c>
      <c r="P50" s="108"/>
      <c r="Q50" s="108"/>
      <c r="R50" s="108"/>
      <c r="S50" s="108"/>
      <c r="T50" s="108"/>
      <c r="U50" s="108"/>
    </row>
    <row r="51" spans="1:23" ht="16.5" customHeight="1" x14ac:dyDescent="0.25">
      <c r="A51" s="2" t="s">
        <v>108</v>
      </c>
      <c r="B51" s="21"/>
      <c r="C51" s="82"/>
      <c r="D51" s="21"/>
      <c r="E51" s="82"/>
      <c r="F51" s="21"/>
      <c r="G51" s="82"/>
      <c r="H51" s="21"/>
      <c r="I51" s="26"/>
      <c r="J51" s="21">
        <v>4253</v>
      </c>
      <c r="K51" s="26"/>
      <c r="L51" s="44">
        <v>19000</v>
      </c>
      <c r="M51" s="24"/>
      <c r="N51" s="21"/>
      <c r="O51" s="26"/>
      <c r="P51" s="108"/>
      <c r="Q51" s="108"/>
      <c r="R51" s="108"/>
      <c r="S51" s="108"/>
      <c r="T51" s="108"/>
      <c r="U51" s="108"/>
    </row>
    <row r="52" spans="1:23" ht="16.5" customHeight="1" x14ac:dyDescent="0.25">
      <c r="A52" s="2"/>
      <c r="B52" s="8"/>
      <c r="C52" s="82"/>
      <c r="D52" s="8"/>
      <c r="E52" s="82"/>
      <c r="F52" s="8"/>
      <c r="G52" s="82"/>
      <c r="H52" s="8"/>
      <c r="I52" s="26"/>
      <c r="J52" s="8"/>
      <c r="K52" s="26"/>
      <c r="L52" s="10"/>
      <c r="M52" s="11"/>
      <c r="N52" s="8"/>
      <c r="O52" s="7"/>
      <c r="P52" s="110"/>
      <c r="Q52" s="110"/>
      <c r="R52" s="110"/>
      <c r="S52" s="110"/>
      <c r="T52" s="110"/>
      <c r="U52" s="110"/>
    </row>
    <row r="53" spans="1:23" s="12" customFormat="1" ht="16.5" customHeight="1" thickBot="1" x14ac:dyDescent="0.3">
      <c r="A53" s="45" t="s">
        <v>20</v>
      </c>
      <c r="B53" s="46">
        <f>SUM(B35:B52)</f>
        <v>38108.005999999979</v>
      </c>
      <c r="C53" s="85"/>
      <c r="D53" s="46">
        <f>SUM(D35:D52)</f>
        <v>34014.415999999983</v>
      </c>
      <c r="E53" s="85"/>
      <c r="F53" s="46">
        <f>SUM(F35:F52)</f>
        <v>23930.435999999983</v>
      </c>
      <c r="G53" s="85"/>
      <c r="H53" s="70">
        <f>SUM(H35:H52)</f>
        <v>18199.785999999978</v>
      </c>
      <c r="I53" s="143"/>
      <c r="J53" s="46">
        <f>SUM(J35:J52)</f>
        <v>31299.425999999981</v>
      </c>
      <c r="K53" s="36"/>
      <c r="L53" s="46">
        <f>SUM(L35:L52)</f>
        <v>51758.395999999986</v>
      </c>
      <c r="M53" s="36"/>
      <c r="N53" s="47">
        <f>SUM(N37:N47)</f>
        <v>436.93600000000004</v>
      </c>
      <c r="O53" s="36"/>
      <c r="P53" s="86"/>
      <c r="Q53" s="86"/>
      <c r="R53" s="86"/>
      <c r="S53" s="86"/>
      <c r="T53" s="86">
        <f>991.74+214.89</f>
        <v>1206.6300000000001</v>
      </c>
      <c r="U53" s="86"/>
      <c r="V53" s="1"/>
    </row>
    <row r="54" spans="1:23" s="12" customFormat="1" ht="16.5" customHeight="1" thickTop="1" x14ac:dyDescent="0.25">
      <c r="A54" s="48"/>
      <c r="B54" s="48"/>
      <c r="C54" s="86"/>
      <c r="D54" s="48"/>
      <c r="E54" s="86"/>
      <c r="F54" s="48"/>
      <c r="G54" s="86"/>
      <c r="H54" s="48"/>
      <c r="I54" s="86"/>
      <c r="J54" s="49"/>
      <c r="K54" s="50"/>
      <c r="L54" s="49"/>
      <c r="M54" s="50"/>
      <c r="N54" s="49"/>
      <c r="O54" s="50"/>
      <c r="P54" s="50"/>
      <c r="Q54" s="50"/>
      <c r="R54" s="50"/>
      <c r="S54" s="50"/>
      <c r="T54" s="50"/>
      <c r="U54" s="50"/>
      <c r="V54" s="1"/>
    </row>
    <row r="55" spans="1:23" s="12" customFormat="1" ht="16.5" customHeight="1" x14ac:dyDescent="0.25">
      <c r="B55" s="51">
        <f>+B34-B53</f>
        <v>4.0000000226427801E-3</v>
      </c>
      <c r="C55" s="87"/>
      <c r="D55" s="51">
        <f>+D34-D53</f>
        <v>4.0000000226427801E-3</v>
      </c>
      <c r="E55" s="87"/>
      <c r="F55" s="51">
        <f>+F34-F53</f>
        <v>4.0000000153668225E-3</v>
      </c>
      <c r="G55" s="87"/>
      <c r="H55" s="51">
        <f>+H34-H53</f>
        <v>4.0000000226427801E-3</v>
      </c>
      <c r="I55" s="87"/>
      <c r="J55" s="51">
        <f>+J34-J53</f>
        <v>2.0000000185973477E-3</v>
      </c>
      <c r="L55" s="51">
        <f>+L34-L53</f>
        <v>-3.999999986262992E-3</v>
      </c>
      <c r="N55" s="51">
        <f>+N34-N53</f>
        <v>0</v>
      </c>
    </row>
    <row r="56" spans="1:23" s="12" customFormat="1" ht="16.5" customHeight="1" x14ac:dyDescent="0.25">
      <c r="A56" s="152" t="s">
        <v>44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12"/>
      <c r="Q56" s="112"/>
      <c r="R56" s="112"/>
      <c r="S56" s="112"/>
      <c r="T56" s="102"/>
      <c r="U56" s="102"/>
    </row>
    <row r="57" spans="1:23" ht="16.5" customHeight="1" x14ac:dyDescent="0.25">
      <c r="A57" s="155" t="s">
        <v>43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14"/>
      <c r="Q57" s="114"/>
      <c r="R57" s="114"/>
      <c r="S57" s="114"/>
      <c r="T57" s="104"/>
      <c r="U57" s="104"/>
    </row>
    <row r="58" spans="1:23" ht="16.5" customHeight="1" thickBot="1" x14ac:dyDescent="0.3">
      <c r="A58" s="52"/>
      <c r="B58" s="52"/>
      <c r="C58" s="88"/>
      <c r="D58" s="52"/>
      <c r="E58" s="88"/>
      <c r="F58" s="52"/>
      <c r="G58" s="88"/>
      <c r="H58" s="52"/>
      <c r="I58" s="88"/>
      <c r="J58" s="53"/>
      <c r="K58" s="52"/>
      <c r="L58" s="53"/>
      <c r="M58" s="52"/>
      <c r="N58" s="53"/>
      <c r="O58" s="52"/>
      <c r="P58" s="13"/>
      <c r="Q58" s="13"/>
      <c r="R58" s="13"/>
      <c r="S58" s="13"/>
      <c r="T58" s="13"/>
      <c r="U58" s="13"/>
    </row>
    <row r="59" spans="1:23" ht="16.5" customHeight="1" thickTop="1" x14ac:dyDescent="0.25">
      <c r="A59" s="37"/>
      <c r="B59" s="146">
        <f>+B4</f>
        <v>2018</v>
      </c>
      <c r="C59" s="147"/>
      <c r="D59" s="146">
        <f>+D4</f>
        <v>2017</v>
      </c>
      <c r="E59" s="147"/>
      <c r="F59" s="146">
        <f>+F4</f>
        <v>2016</v>
      </c>
      <c r="G59" s="147"/>
      <c r="H59" s="146">
        <v>2015</v>
      </c>
      <c r="I59" s="147"/>
      <c r="J59" s="146">
        <v>2014</v>
      </c>
      <c r="K59" s="147"/>
      <c r="L59" s="146">
        <v>2013</v>
      </c>
      <c r="M59" s="147"/>
      <c r="N59" s="153">
        <v>2012</v>
      </c>
      <c r="O59" s="147"/>
      <c r="P59" s="107"/>
      <c r="Q59" s="107"/>
      <c r="R59" s="107"/>
      <c r="S59" s="107"/>
      <c r="T59" s="107"/>
      <c r="U59" s="107"/>
    </row>
    <row r="60" spans="1:23" ht="16.5" customHeight="1" x14ac:dyDescent="0.25">
      <c r="A60" s="2" t="s">
        <v>21</v>
      </c>
      <c r="B60" s="55"/>
      <c r="C60" s="24"/>
      <c r="D60" s="55"/>
      <c r="E60" s="24"/>
      <c r="F60" s="55"/>
      <c r="G60" s="24"/>
      <c r="H60" s="55"/>
      <c r="I60" s="24"/>
      <c r="J60" s="55"/>
      <c r="K60" s="24"/>
      <c r="L60" s="55"/>
      <c r="M60" s="24"/>
      <c r="N60" s="54"/>
      <c r="O60" s="24"/>
      <c r="P60" s="108"/>
      <c r="Q60" s="108"/>
      <c r="R60" s="108"/>
      <c r="S60" s="108"/>
      <c r="T60" s="108"/>
      <c r="U60" s="108"/>
    </row>
    <row r="61" spans="1:23" ht="16.5" customHeight="1" x14ac:dyDescent="0.25">
      <c r="A61" s="20" t="s">
        <v>22</v>
      </c>
      <c r="B61" s="57"/>
      <c r="C61" s="24"/>
      <c r="D61" s="57"/>
      <c r="E61" s="24"/>
      <c r="F61" s="57"/>
      <c r="G61" s="24"/>
      <c r="H61" s="57"/>
      <c r="I61" s="24"/>
      <c r="J61" s="57"/>
      <c r="K61" s="24"/>
      <c r="L61" s="57"/>
      <c r="M61" s="24"/>
      <c r="N61" s="56"/>
      <c r="O61" s="24"/>
      <c r="P61" s="108"/>
      <c r="Q61" s="108"/>
      <c r="R61" s="108"/>
      <c r="S61" s="108"/>
      <c r="T61" s="108"/>
      <c r="U61" s="108"/>
    </row>
    <row r="62" spans="1:23" ht="16.5" customHeight="1" x14ac:dyDescent="0.25">
      <c r="A62" s="2" t="s">
        <v>47</v>
      </c>
      <c r="B62" s="9"/>
      <c r="C62" s="24">
        <v>50</v>
      </c>
      <c r="D62" s="9"/>
      <c r="E62" s="24">
        <v>50</v>
      </c>
      <c r="F62" s="9"/>
      <c r="G62" s="24">
        <v>50</v>
      </c>
      <c r="H62" s="9"/>
      <c r="I62" s="24">
        <v>50</v>
      </c>
      <c r="J62" s="9"/>
      <c r="K62" s="28">
        <v>50</v>
      </c>
      <c r="L62" s="9"/>
      <c r="M62" s="28">
        <v>25</v>
      </c>
      <c r="N62" s="6"/>
      <c r="O62" s="28">
        <v>25</v>
      </c>
      <c r="P62" s="110"/>
      <c r="Q62" s="110"/>
      <c r="R62" s="110"/>
      <c r="S62" s="110"/>
      <c r="T62" s="110"/>
      <c r="U62" s="110"/>
    </row>
    <row r="63" spans="1:23" ht="16.5" customHeight="1" x14ac:dyDescent="0.25">
      <c r="A63" s="2" t="s">
        <v>51</v>
      </c>
      <c r="B63" s="9"/>
      <c r="C63" s="24">
        <v>21947.82</v>
      </c>
      <c r="D63" s="9"/>
      <c r="E63" s="24"/>
      <c r="F63" s="9"/>
      <c r="G63" s="24">
        <f>11500+30+7330+6000</f>
        <v>24860</v>
      </c>
      <c r="H63" s="9"/>
      <c r="I63" s="24">
        <v>37454</v>
      </c>
      <c r="J63" s="9"/>
      <c r="K63" s="28">
        <f>108813-15670+19000-4253</f>
        <v>107890</v>
      </c>
      <c r="L63" s="9"/>
      <c r="M63" s="28">
        <f>90950+15670-19000</f>
        <v>87620</v>
      </c>
      <c r="N63" s="6"/>
      <c r="O63" s="28"/>
      <c r="P63" s="110">
        <v>21997</v>
      </c>
      <c r="Q63" s="110">
        <f>+C63-P63</f>
        <v>-49.180000000000291</v>
      </c>
      <c r="R63" s="110"/>
      <c r="S63" s="110"/>
      <c r="T63" s="110"/>
      <c r="U63" s="110"/>
    </row>
    <row r="64" spans="1:23" ht="16.5" customHeight="1" x14ac:dyDescent="0.25">
      <c r="A64" s="2" t="s">
        <v>48</v>
      </c>
      <c r="B64" s="9"/>
      <c r="C64" s="24"/>
      <c r="D64" s="9"/>
      <c r="E64" s="24"/>
      <c r="F64" s="9"/>
      <c r="G64" s="24"/>
      <c r="H64" s="9"/>
      <c r="I64" s="24"/>
      <c r="J64" s="9"/>
      <c r="K64" s="28"/>
      <c r="L64" s="9"/>
      <c r="M64" s="28">
        <v>8912</v>
      </c>
      <c r="N64" s="6"/>
      <c r="O64" s="28"/>
      <c r="P64" s="110"/>
      <c r="Q64" s="110"/>
      <c r="R64" s="110"/>
      <c r="S64" s="110"/>
      <c r="T64" s="110"/>
      <c r="U64" s="110"/>
    </row>
    <row r="65" spans="1:26" ht="16.5" customHeight="1" x14ac:dyDescent="0.25">
      <c r="A65" s="2" t="s">
        <v>49</v>
      </c>
      <c r="B65" s="9"/>
      <c r="C65" s="24"/>
      <c r="D65" s="9"/>
      <c r="E65" s="24"/>
      <c r="F65" s="9"/>
      <c r="G65" s="24"/>
      <c r="H65" s="9"/>
      <c r="I65" s="24"/>
      <c r="J65" s="9"/>
      <c r="K65" s="28">
        <v>67475.100000000006</v>
      </c>
      <c r="L65" s="9"/>
      <c r="M65" s="28">
        <v>58563.53</v>
      </c>
      <c r="N65" s="6"/>
      <c r="O65" s="28"/>
      <c r="P65" s="110"/>
      <c r="Q65" s="110"/>
      <c r="R65" s="110"/>
      <c r="S65" s="110"/>
      <c r="T65" s="110"/>
      <c r="U65" s="110"/>
    </row>
    <row r="66" spans="1:26" ht="16.5" customHeight="1" x14ac:dyDescent="0.25">
      <c r="A66" s="2" t="s">
        <v>50</v>
      </c>
      <c r="B66" s="9"/>
      <c r="C66" s="24"/>
      <c r="D66" s="9"/>
      <c r="E66" s="24">
        <v>8000</v>
      </c>
      <c r="F66" s="9"/>
      <c r="G66" s="24">
        <v>500</v>
      </c>
      <c r="H66" s="9"/>
      <c r="I66" s="24">
        <v>1446.26</v>
      </c>
      <c r="J66" s="9"/>
      <c r="K66" s="28">
        <v>3000</v>
      </c>
      <c r="L66" s="9"/>
      <c r="M66" s="28">
        <v>14400</v>
      </c>
      <c r="N66" s="6"/>
      <c r="O66" s="28"/>
      <c r="P66" s="110"/>
      <c r="Q66" s="110"/>
      <c r="R66" s="110"/>
      <c r="S66" s="110"/>
      <c r="T66" s="110"/>
      <c r="U66" s="110"/>
    </row>
    <row r="67" spans="1:26" ht="16.5" customHeight="1" x14ac:dyDescent="0.25">
      <c r="A67" s="2" t="s">
        <v>74</v>
      </c>
      <c r="B67" s="9"/>
      <c r="C67" s="24">
        <f>0.36+70.5</f>
        <v>70.86</v>
      </c>
      <c r="D67" s="9"/>
      <c r="E67" s="24"/>
      <c r="F67" s="9"/>
      <c r="G67" s="24">
        <v>0.72</v>
      </c>
      <c r="H67" s="9"/>
      <c r="I67" s="24">
        <v>153.09</v>
      </c>
      <c r="J67" s="9"/>
      <c r="K67" s="28">
        <v>470.33</v>
      </c>
      <c r="L67" s="9"/>
      <c r="M67" s="28"/>
      <c r="N67" s="6"/>
      <c r="O67" s="28"/>
      <c r="P67" s="110"/>
      <c r="Q67" s="110"/>
      <c r="R67" s="110"/>
      <c r="S67" s="110"/>
      <c r="T67" s="110"/>
      <c r="U67" s="110"/>
    </row>
    <row r="68" spans="1:26" ht="16.5" customHeight="1" x14ac:dyDescent="0.25">
      <c r="A68" s="58" t="s">
        <v>23</v>
      </c>
      <c r="B68" s="5">
        <f>SUM(C62:C67)</f>
        <v>22068.68</v>
      </c>
      <c r="C68" s="3"/>
      <c r="D68" s="5">
        <f>SUM(E62:E67)</f>
        <v>8050</v>
      </c>
      <c r="E68" s="3"/>
      <c r="F68" s="5">
        <f>SUM(G62:G67)</f>
        <v>25410.720000000001</v>
      </c>
      <c r="G68" s="3"/>
      <c r="H68" s="5">
        <f>SUM(I62:I67)</f>
        <v>39103.35</v>
      </c>
      <c r="I68" s="3"/>
      <c r="J68" s="5">
        <f>SUM(K62:K67)</f>
        <v>178885.43</v>
      </c>
      <c r="K68" s="3"/>
      <c r="L68" s="5">
        <f>SUM(M62:M67)</f>
        <v>169520.53</v>
      </c>
      <c r="M68" s="3"/>
      <c r="N68" s="5">
        <f>SUM(O62:O67)</f>
        <v>25</v>
      </c>
      <c r="O68" s="3"/>
      <c r="P68" s="108"/>
      <c r="Q68" s="108"/>
      <c r="R68" s="108"/>
      <c r="S68" s="108"/>
      <c r="T68" s="108">
        <f>40019.58-H68</f>
        <v>916.2300000000032</v>
      </c>
      <c r="U68" s="108"/>
    </row>
    <row r="69" spans="1:26" ht="16.5" customHeight="1" x14ac:dyDescent="0.25">
      <c r="A69" s="27"/>
      <c r="B69" s="9"/>
      <c r="C69" s="4"/>
      <c r="D69" s="9"/>
      <c r="E69" s="4"/>
      <c r="F69" s="9"/>
      <c r="G69" s="4"/>
      <c r="H69" s="9"/>
      <c r="I69" s="4"/>
      <c r="J69" s="9"/>
      <c r="K69" s="4"/>
      <c r="L69" s="9"/>
      <c r="M69" s="4"/>
      <c r="N69" s="6"/>
      <c r="O69" s="4"/>
      <c r="P69" s="86"/>
      <c r="Q69" s="86"/>
      <c r="R69" s="86"/>
      <c r="S69" s="86"/>
      <c r="T69" s="86"/>
      <c r="U69" s="86"/>
    </row>
    <row r="70" spans="1:26" ht="16.5" customHeight="1" x14ac:dyDescent="0.25">
      <c r="A70" s="2" t="s">
        <v>24</v>
      </c>
      <c r="B70" s="9"/>
      <c r="C70" s="24"/>
      <c r="D70" s="9"/>
      <c r="E70" s="24"/>
      <c r="F70" s="9"/>
      <c r="G70" s="24"/>
      <c r="H70" s="9"/>
      <c r="I70" s="24"/>
      <c r="J70" s="9"/>
      <c r="K70" s="24"/>
      <c r="L70" s="9"/>
      <c r="M70" s="24"/>
      <c r="N70" s="6"/>
      <c r="O70" s="24"/>
      <c r="P70" s="108"/>
      <c r="Q70" s="108"/>
      <c r="R70" s="108"/>
      <c r="S70" s="108"/>
      <c r="T70" s="108"/>
      <c r="U70" s="108"/>
    </row>
    <row r="71" spans="1:26" ht="16.5" customHeight="1" x14ac:dyDescent="0.25">
      <c r="A71" s="20"/>
      <c r="B71" s="57"/>
      <c r="C71" s="24"/>
      <c r="D71" s="57"/>
      <c r="E71" s="24"/>
      <c r="F71" s="57"/>
      <c r="G71" s="24"/>
      <c r="H71" s="57"/>
      <c r="I71" s="24"/>
      <c r="J71" s="57"/>
      <c r="K71" s="24"/>
      <c r="L71" s="57"/>
      <c r="M71" s="24"/>
      <c r="N71" s="56"/>
      <c r="O71" s="24"/>
      <c r="P71" s="108"/>
      <c r="Q71" s="108"/>
      <c r="R71" s="108"/>
      <c r="S71" s="108"/>
      <c r="T71" s="108"/>
      <c r="U71" s="108"/>
    </row>
    <row r="72" spans="1:26" ht="16.5" customHeight="1" x14ac:dyDescent="0.25">
      <c r="A72" s="2" t="s">
        <v>46</v>
      </c>
      <c r="B72" s="9"/>
      <c r="C72" s="24">
        <v>161.19</v>
      </c>
      <c r="D72" s="9"/>
      <c r="E72" s="24">
        <v>140.47</v>
      </c>
      <c r="F72" s="9"/>
      <c r="G72" s="24">
        <v>265.88</v>
      </c>
      <c r="H72" s="9"/>
      <c r="I72" s="24">
        <v>408.11</v>
      </c>
      <c r="J72" s="9"/>
      <c r="K72" s="28">
        <v>548.66</v>
      </c>
      <c r="L72" s="9"/>
      <c r="M72" s="28">
        <v>396.99</v>
      </c>
      <c r="N72" s="6"/>
      <c r="O72" s="28">
        <v>55.21</v>
      </c>
      <c r="P72" s="110"/>
      <c r="Q72" s="110"/>
      <c r="R72" s="110"/>
      <c r="S72" s="110"/>
      <c r="T72" s="110"/>
      <c r="U72" s="110"/>
    </row>
    <row r="73" spans="1:26" ht="16.5" customHeight="1" x14ac:dyDescent="0.25">
      <c r="A73" s="2" t="s">
        <v>77</v>
      </c>
      <c r="B73" s="9"/>
      <c r="C73" s="24"/>
      <c r="D73" s="9"/>
      <c r="E73" s="24"/>
      <c r="F73" s="9"/>
      <c r="G73" s="24"/>
      <c r="H73" s="9"/>
      <c r="I73" s="24"/>
      <c r="J73" s="9"/>
      <c r="K73" s="28">
        <v>46.13</v>
      </c>
      <c r="L73" s="9"/>
      <c r="M73" s="28"/>
      <c r="N73" s="6"/>
      <c r="O73" s="28">
        <v>258</v>
      </c>
      <c r="P73" s="110"/>
      <c r="Q73" s="110"/>
      <c r="R73" s="110"/>
      <c r="S73" s="110"/>
      <c r="T73" s="110"/>
      <c r="U73" s="110"/>
    </row>
    <row r="74" spans="1:26" ht="16.5" customHeight="1" x14ac:dyDescent="0.25">
      <c r="A74" s="2" t="s">
        <v>52</v>
      </c>
      <c r="B74" s="9"/>
      <c r="C74" s="24"/>
      <c r="D74" s="9"/>
      <c r="E74" s="24"/>
      <c r="F74" s="9"/>
      <c r="G74" s="24">
        <v>6.82</v>
      </c>
      <c r="H74" s="9"/>
      <c r="I74" s="24">
        <v>1223.99</v>
      </c>
      <c r="J74" s="9"/>
      <c r="K74" s="28">
        <v>5458.89</v>
      </c>
      <c r="L74" s="9"/>
      <c r="M74" s="28">
        <v>5151.3599999999997</v>
      </c>
      <c r="N74" s="6"/>
      <c r="O74" s="28"/>
      <c r="P74" s="110"/>
      <c r="Q74" s="110"/>
      <c r="R74" s="110"/>
      <c r="S74" s="110"/>
      <c r="T74" s="110"/>
      <c r="U74" s="110"/>
    </row>
    <row r="75" spans="1:26" ht="16.5" customHeight="1" x14ac:dyDescent="0.25">
      <c r="A75" s="2" t="s">
        <v>53</v>
      </c>
      <c r="B75" s="9"/>
      <c r="C75" s="24"/>
      <c r="D75" s="9"/>
      <c r="E75" s="24"/>
      <c r="F75" s="9"/>
      <c r="G75" s="24"/>
      <c r="H75" s="9"/>
      <c r="I75" s="24">
        <v>735.97</v>
      </c>
      <c r="J75" s="9"/>
      <c r="K75" s="28">
        <f>994.91+13097.01</f>
        <v>14091.92</v>
      </c>
      <c r="L75" s="9"/>
      <c r="M75" s="28">
        <v>3195.95</v>
      </c>
      <c r="N75" s="6"/>
      <c r="O75" s="28"/>
      <c r="P75" s="110"/>
      <c r="Q75" s="110"/>
      <c r="R75" s="110"/>
      <c r="S75" s="110"/>
      <c r="T75" s="110"/>
      <c r="U75" s="110"/>
    </row>
    <row r="76" spans="1:26" ht="16.5" customHeight="1" x14ac:dyDescent="0.25">
      <c r="A76" s="2" t="s">
        <v>54</v>
      </c>
      <c r="B76" s="9"/>
      <c r="C76" s="24"/>
      <c r="D76" s="9"/>
      <c r="E76" s="24"/>
      <c r="F76" s="9"/>
      <c r="G76" s="24">
        <v>9.8000000000000007</v>
      </c>
      <c r="H76" s="9"/>
      <c r="I76" s="24">
        <v>6.05</v>
      </c>
      <c r="J76" s="9"/>
      <c r="K76" s="28">
        <v>1769.3</v>
      </c>
      <c r="L76" s="9"/>
      <c r="M76" s="28">
        <v>638.25</v>
      </c>
      <c r="N76" s="6"/>
      <c r="O76" s="28"/>
      <c r="P76" s="110"/>
      <c r="Q76" s="110"/>
      <c r="R76" s="110"/>
      <c r="S76" s="110"/>
      <c r="T76" s="110"/>
      <c r="U76" s="110"/>
    </row>
    <row r="77" spans="1:26" ht="16.5" customHeight="1" x14ac:dyDescent="0.25">
      <c r="A77" s="2" t="s">
        <v>55</v>
      </c>
      <c r="B77" s="9"/>
      <c r="C77" s="24"/>
      <c r="D77" s="9"/>
      <c r="E77" s="24"/>
      <c r="F77" s="9"/>
      <c r="G77" s="24"/>
      <c r="H77" s="9"/>
      <c r="I77" s="24"/>
      <c r="J77" s="9"/>
      <c r="K77" s="28">
        <f>1992.1-534.4-100</f>
        <v>1357.6999999999998</v>
      </c>
      <c r="L77" s="9"/>
      <c r="M77" s="28">
        <f>2077.25-1165-399</f>
        <v>513.25</v>
      </c>
      <c r="N77" s="6"/>
      <c r="O77" s="28"/>
      <c r="P77" s="110"/>
      <c r="Q77" s="110"/>
      <c r="R77" s="110"/>
      <c r="S77" s="110"/>
      <c r="T77" s="110"/>
      <c r="U77" s="110"/>
    </row>
    <row r="78" spans="1:26" ht="16.5" customHeight="1" x14ac:dyDescent="0.25">
      <c r="A78" s="2" t="s">
        <v>66</v>
      </c>
      <c r="B78" s="9"/>
      <c r="C78" s="24">
        <v>19.2</v>
      </c>
      <c r="D78" s="9"/>
      <c r="E78" s="24"/>
      <c r="F78" s="9"/>
      <c r="G78" s="24"/>
      <c r="H78" s="9"/>
      <c r="I78" s="24"/>
      <c r="J78" s="9"/>
      <c r="K78" s="28">
        <v>3676.58</v>
      </c>
      <c r="L78" s="9"/>
      <c r="M78" s="28">
        <v>2168.67</v>
      </c>
      <c r="N78" s="6"/>
      <c r="O78" s="28"/>
      <c r="P78" s="110"/>
      <c r="Q78" s="110"/>
      <c r="R78" s="110"/>
      <c r="S78" s="110"/>
      <c r="T78" s="110"/>
      <c r="U78" s="110"/>
      <c r="Z78" s="78"/>
    </row>
    <row r="79" spans="1:26" ht="16.5" customHeight="1" x14ac:dyDescent="0.25">
      <c r="A79" s="2" t="s">
        <v>56</v>
      </c>
      <c r="B79" s="9"/>
      <c r="C79" s="24">
        <v>2400</v>
      </c>
      <c r="D79" s="9"/>
      <c r="E79" s="24"/>
      <c r="F79" s="9"/>
      <c r="G79" s="24">
        <v>2238.11</v>
      </c>
      <c r="H79" s="9"/>
      <c r="I79" s="24">
        <v>9051.56</v>
      </c>
      <c r="J79" s="9"/>
      <c r="K79" s="28">
        <f>7252.41+890</f>
        <v>8142.41</v>
      </c>
      <c r="L79" s="9"/>
      <c r="M79" s="28">
        <v>14458.22</v>
      </c>
      <c r="N79" s="6"/>
      <c r="O79" s="28"/>
      <c r="P79" s="110"/>
      <c r="Q79" s="110"/>
      <c r="R79" s="110"/>
      <c r="S79" s="110"/>
      <c r="T79" s="110"/>
      <c r="U79" s="110"/>
    </row>
    <row r="80" spans="1:26" ht="16.5" customHeight="1" x14ac:dyDescent="0.25">
      <c r="A80" s="2" t="s">
        <v>57</v>
      </c>
      <c r="B80" s="9"/>
      <c r="C80" s="24">
        <f>SUM(C81:C84)</f>
        <v>3869.21</v>
      </c>
      <c r="D80" s="9"/>
      <c r="E80" s="24">
        <f>SUM(E81:E84)</f>
        <v>0</v>
      </c>
      <c r="F80" s="9"/>
      <c r="G80" s="24">
        <f>SUM(G81:G84)</f>
        <v>5135.75</v>
      </c>
      <c r="H80" s="9"/>
      <c r="I80" s="24">
        <f>SUM(I81:I84)</f>
        <v>18098.419999999998</v>
      </c>
      <c r="J80" s="9"/>
      <c r="K80" s="28">
        <f>SUM(K81:K84)</f>
        <v>94859.05</v>
      </c>
      <c r="L80" s="9"/>
      <c r="M80" s="28">
        <f>SUM(M81:M84)</f>
        <v>81203.55</v>
      </c>
      <c r="N80" s="6"/>
      <c r="O80" s="28"/>
      <c r="P80" s="110"/>
      <c r="Q80" s="110"/>
      <c r="R80" s="110"/>
      <c r="S80" s="110"/>
      <c r="T80" s="110"/>
      <c r="U80" s="110"/>
    </row>
    <row r="81" spans="1:24" ht="16.5" customHeight="1" x14ac:dyDescent="0.25">
      <c r="A81" s="59" t="s">
        <v>58</v>
      </c>
      <c r="B81" s="9"/>
      <c r="C81" s="24">
        <v>2806.94</v>
      </c>
      <c r="D81" s="9"/>
      <c r="E81" s="24"/>
      <c r="F81" s="9"/>
      <c r="G81" s="131">
        <v>3998.31</v>
      </c>
      <c r="H81" s="9"/>
      <c r="I81" s="131">
        <f>11175.1-913.28</f>
        <v>10261.82</v>
      </c>
      <c r="J81" s="9"/>
      <c r="K81" s="60">
        <f>66391.16+4000</f>
        <v>70391.16</v>
      </c>
      <c r="L81" s="9"/>
      <c r="M81" s="60">
        <f>66504.31-4000</f>
        <v>62504.31</v>
      </c>
      <c r="N81" s="6"/>
      <c r="O81" s="28"/>
      <c r="P81" s="110"/>
      <c r="Q81" s="110"/>
      <c r="R81" s="110"/>
      <c r="S81" s="110"/>
      <c r="T81" s="110"/>
      <c r="U81" s="110"/>
    </row>
    <row r="82" spans="1:24" ht="16.5" customHeight="1" x14ac:dyDescent="0.25">
      <c r="A82" s="59" t="s">
        <v>59</v>
      </c>
      <c r="B82" s="9"/>
      <c r="C82" s="24">
        <f>852.45+15.93</f>
        <v>868.38</v>
      </c>
      <c r="D82" s="9"/>
      <c r="E82" s="24"/>
      <c r="F82" s="9"/>
      <c r="G82" s="131">
        <f>12.47+1124.97</f>
        <v>1137.44</v>
      </c>
      <c r="H82" s="9"/>
      <c r="I82" s="131">
        <f>-14.14+4344.72</f>
        <v>4330.58</v>
      </c>
      <c r="J82" s="9"/>
      <c r="K82" s="60">
        <v>17282.62</v>
      </c>
      <c r="L82" s="9"/>
      <c r="M82" s="60">
        <v>15701.19</v>
      </c>
      <c r="N82" s="6"/>
      <c r="O82" s="28"/>
      <c r="P82" s="110"/>
      <c r="Q82" s="110"/>
      <c r="R82" s="110"/>
      <c r="S82" s="110"/>
      <c r="T82" s="110"/>
      <c r="U82" s="110"/>
    </row>
    <row r="83" spans="1:24" ht="16.5" customHeight="1" x14ac:dyDescent="0.25">
      <c r="A83" s="59" t="s">
        <v>60</v>
      </c>
      <c r="B83" s="9"/>
      <c r="C83" s="24">
        <v>193.89</v>
      </c>
      <c r="D83" s="9"/>
      <c r="E83" s="24"/>
      <c r="F83" s="9"/>
      <c r="G83" s="24"/>
      <c r="H83" s="9"/>
      <c r="I83" s="131">
        <v>2555.5100000000002</v>
      </c>
      <c r="J83" s="9"/>
      <c r="K83" s="60">
        <f>642.67+2891.99</f>
        <v>3534.66</v>
      </c>
      <c r="L83" s="9"/>
      <c r="M83" s="60">
        <v>1477</v>
      </c>
      <c r="N83" s="6"/>
      <c r="O83" s="28"/>
      <c r="P83" s="110"/>
      <c r="Q83" s="110"/>
      <c r="R83" s="110"/>
      <c r="S83" s="110"/>
      <c r="T83" s="110"/>
      <c r="U83" s="110"/>
    </row>
    <row r="84" spans="1:24" ht="16.5" customHeight="1" x14ac:dyDescent="0.25">
      <c r="A84" s="59" t="s">
        <v>72</v>
      </c>
      <c r="B84" s="9"/>
      <c r="C84" s="24"/>
      <c r="D84" s="9"/>
      <c r="E84" s="24"/>
      <c r="F84" s="9"/>
      <c r="G84" s="24"/>
      <c r="H84" s="9"/>
      <c r="I84" s="131">
        <f>725.25+225.26</f>
        <v>950.51</v>
      </c>
      <c r="J84" s="9"/>
      <c r="K84" s="60">
        <f>4.49+3646.12</f>
        <v>3650.6099999999997</v>
      </c>
      <c r="L84" s="9"/>
      <c r="M84" s="60">
        <f>29.51+1491.54</f>
        <v>1521.05</v>
      </c>
      <c r="N84" s="6"/>
      <c r="O84" s="28"/>
      <c r="P84" s="110"/>
      <c r="Q84" s="110"/>
      <c r="R84" s="110"/>
      <c r="S84" s="110"/>
      <c r="T84" s="110"/>
      <c r="U84" s="110"/>
    </row>
    <row r="85" spans="1:24" ht="16.5" customHeight="1" x14ac:dyDescent="0.25">
      <c r="A85" s="2" t="s">
        <v>76</v>
      </c>
      <c r="B85" s="9"/>
      <c r="C85" s="24">
        <v>3089.9</v>
      </c>
      <c r="D85" s="9"/>
      <c r="E85" s="24"/>
      <c r="F85" s="9"/>
      <c r="G85" s="24">
        <v>1119.47</v>
      </c>
      <c r="H85" s="9"/>
      <c r="I85" s="24"/>
      <c r="J85" s="9"/>
      <c r="K85" s="28">
        <f>846.8+470.89</f>
        <v>1317.69</v>
      </c>
      <c r="L85" s="9"/>
      <c r="M85" s="28">
        <v>205.2</v>
      </c>
      <c r="N85" s="6"/>
      <c r="O85" s="28"/>
      <c r="P85" s="110"/>
      <c r="Q85" s="110"/>
      <c r="R85" s="110"/>
      <c r="S85" s="110"/>
      <c r="T85" s="110"/>
      <c r="U85" s="110"/>
    </row>
    <row r="86" spans="1:24" ht="16.5" customHeight="1" x14ac:dyDescent="0.25">
      <c r="A86" s="2" t="s">
        <v>62</v>
      </c>
      <c r="B86" s="9"/>
      <c r="C86" s="24">
        <v>2148.69</v>
      </c>
      <c r="D86" s="9"/>
      <c r="E86" s="24"/>
      <c r="F86" s="9"/>
      <c r="G86" s="24">
        <v>9027.2199999999993</v>
      </c>
      <c r="H86" s="9"/>
      <c r="I86" s="24">
        <v>236.47</v>
      </c>
      <c r="J86" s="9"/>
      <c r="K86" s="28">
        <f>13416.1+4891.04</f>
        <v>18307.14</v>
      </c>
      <c r="L86" s="9"/>
      <c r="M86" s="28">
        <f>95+9467.48</f>
        <v>9562.48</v>
      </c>
      <c r="N86" s="6"/>
      <c r="O86" s="28"/>
      <c r="P86" s="110"/>
      <c r="Q86" s="110"/>
      <c r="R86" s="110"/>
      <c r="S86" s="110"/>
      <c r="T86" s="110"/>
      <c r="U86" s="110"/>
    </row>
    <row r="87" spans="1:24" ht="16.5" customHeight="1" x14ac:dyDescent="0.25">
      <c r="A87" s="2" t="s">
        <v>63</v>
      </c>
      <c r="B87" s="9"/>
      <c r="C87" s="24"/>
      <c r="D87" s="9"/>
      <c r="E87" s="24"/>
      <c r="F87" s="9"/>
      <c r="G87" s="24"/>
      <c r="H87" s="9"/>
      <c r="I87" s="24"/>
      <c r="J87" s="9"/>
      <c r="K87" s="28">
        <v>669.6</v>
      </c>
      <c r="L87" s="9"/>
      <c r="M87" s="28">
        <v>16</v>
      </c>
      <c r="N87" s="6"/>
      <c r="O87" s="28"/>
      <c r="P87" s="110"/>
      <c r="Q87" s="110"/>
      <c r="R87" s="110"/>
      <c r="S87" s="110"/>
      <c r="T87" s="110"/>
      <c r="U87" s="110"/>
    </row>
    <row r="88" spans="1:24" ht="16.5" customHeight="1" x14ac:dyDescent="0.25">
      <c r="A88" s="2" t="s">
        <v>71</v>
      </c>
      <c r="B88" s="9"/>
      <c r="C88" s="24"/>
      <c r="D88" s="9"/>
      <c r="E88" s="24"/>
      <c r="F88" s="9"/>
      <c r="G88" s="24"/>
      <c r="H88" s="9"/>
      <c r="I88" s="24">
        <v>250</v>
      </c>
      <c r="J88" s="9"/>
      <c r="K88" s="28">
        <v>4500</v>
      </c>
      <c r="L88" s="9"/>
      <c r="M88" s="28">
        <v>8654.14</v>
      </c>
      <c r="N88" s="6"/>
      <c r="O88" s="28"/>
      <c r="P88" s="110"/>
      <c r="Q88" s="110"/>
      <c r="R88" s="110"/>
      <c r="S88" s="110"/>
      <c r="T88" s="110"/>
      <c r="U88" s="110"/>
    </row>
    <row r="89" spans="1:24" ht="16.5" customHeight="1" x14ac:dyDescent="0.25">
      <c r="A89" s="2" t="s">
        <v>64</v>
      </c>
      <c r="B89" s="9"/>
      <c r="C89" s="24">
        <v>4950</v>
      </c>
      <c r="D89" s="9"/>
      <c r="E89" s="24"/>
      <c r="F89" s="9"/>
      <c r="G89" s="24"/>
      <c r="H89" s="9"/>
      <c r="I89" s="24">
        <v>1164.1300000000001</v>
      </c>
      <c r="J89" s="9"/>
      <c r="K89" s="28">
        <f>6120+1530+1565.7</f>
        <v>9215.7000000000007</v>
      </c>
      <c r="L89" s="9"/>
      <c r="M89" s="28">
        <v>32184.84</v>
      </c>
      <c r="N89" s="6"/>
      <c r="O89" s="28"/>
      <c r="P89" s="110"/>
      <c r="Q89" s="110"/>
      <c r="R89" s="110"/>
      <c r="S89" s="110"/>
      <c r="T89" s="110"/>
      <c r="U89" s="110"/>
    </row>
    <row r="90" spans="1:24" ht="16.5" customHeight="1" x14ac:dyDescent="0.25">
      <c r="A90" s="2" t="s">
        <v>65</v>
      </c>
      <c r="B90" s="9"/>
      <c r="C90" s="24"/>
      <c r="D90" s="9"/>
      <c r="E90" s="24"/>
      <c r="F90" s="9"/>
      <c r="G90" s="24"/>
      <c r="H90" s="9"/>
      <c r="I90" s="24"/>
      <c r="J90" s="9"/>
      <c r="K90" s="28">
        <f>1159+258.22</f>
        <v>1417.22</v>
      </c>
      <c r="L90" s="9"/>
      <c r="M90" s="28">
        <f>726+1479.8</f>
        <v>2205.8000000000002</v>
      </c>
      <c r="N90" s="6"/>
      <c r="O90" s="28"/>
      <c r="P90" s="110"/>
      <c r="Q90" s="110"/>
      <c r="R90" s="110"/>
      <c r="S90" s="110"/>
      <c r="T90" s="110"/>
      <c r="U90" s="110"/>
    </row>
    <row r="91" spans="1:24" ht="16.5" customHeight="1" x14ac:dyDescent="0.25">
      <c r="A91" s="2" t="s">
        <v>75</v>
      </c>
      <c r="B91" s="9"/>
      <c r="C91" s="24"/>
      <c r="D91" s="9"/>
      <c r="E91" s="24"/>
      <c r="F91" s="9"/>
      <c r="G91" s="24"/>
      <c r="H91" s="9"/>
      <c r="I91" s="24">
        <v>550.28</v>
      </c>
      <c r="J91" s="9"/>
      <c r="K91" s="28">
        <v>727.23</v>
      </c>
      <c r="L91" s="9"/>
      <c r="M91" s="28"/>
      <c r="N91" s="6"/>
      <c r="O91" s="28"/>
      <c r="P91" s="110"/>
      <c r="Q91" s="110"/>
      <c r="R91" s="110"/>
      <c r="S91" s="110"/>
      <c r="T91" s="110"/>
      <c r="U91" s="110"/>
    </row>
    <row r="92" spans="1:24" ht="16.5" customHeight="1" x14ac:dyDescent="0.25">
      <c r="A92" s="2" t="s">
        <v>78</v>
      </c>
      <c r="B92" s="9"/>
      <c r="C92" s="24"/>
      <c r="D92" s="9"/>
      <c r="E92" s="24"/>
      <c r="F92" s="9"/>
      <c r="G92" s="24"/>
      <c r="H92" s="9"/>
      <c r="I92" s="24"/>
      <c r="J92" s="9"/>
      <c r="K92" s="28">
        <v>130</v>
      </c>
      <c r="L92" s="9"/>
      <c r="M92" s="28"/>
      <c r="N92" s="6"/>
      <c r="O92" s="28"/>
      <c r="P92" s="110"/>
      <c r="Q92" s="110"/>
      <c r="R92" s="110"/>
      <c r="S92" s="110"/>
      <c r="T92" s="110"/>
      <c r="U92" s="110"/>
    </row>
    <row r="93" spans="1:24" ht="16.5" customHeight="1" x14ac:dyDescent="0.25">
      <c r="A93" s="2" t="s">
        <v>109</v>
      </c>
      <c r="B93" s="9"/>
      <c r="C93" s="24">
        <v>0.72</v>
      </c>
      <c r="D93" s="9"/>
      <c r="E93" s="24"/>
      <c r="F93" s="9"/>
      <c r="G93" s="24">
        <v>0.34</v>
      </c>
      <c r="H93" s="9"/>
      <c r="I93" s="24"/>
      <c r="J93" s="9"/>
      <c r="K93" s="28"/>
      <c r="L93" s="9"/>
      <c r="M93" s="28"/>
      <c r="N93" s="6"/>
      <c r="O93" s="28"/>
      <c r="P93" s="110"/>
      <c r="Q93" s="110"/>
      <c r="R93" s="110"/>
      <c r="S93" s="110"/>
      <c r="T93" s="110"/>
      <c r="U93" s="110"/>
    </row>
    <row r="94" spans="1:24" ht="16.5" customHeight="1" x14ac:dyDescent="0.25">
      <c r="A94" s="2"/>
      <c r="B94" s="9"/>
      <c r="C94" s="24"/>
      <c r="D94" s="9"/>
      <c r="E94" s="24"/>
      <c r="F94" s="9"/>
      <c r="G94" s="24"/>
      <c r="H94" s="9"/>
      <c r="I94" s="24"/>
      <c r="J94" s="9"/>
      <c r="K94" s="28"/>
      <c r="L94" s="9"/>
      <c r="M94" s="28"/>
      <c r="N94" s="6"/>
      <c r="O94" s="28"/>
      <c r="P94" s="110"/>
      <c r="Q94" s="110"/>
      <c r="R94" s="110"/>
      <c r="S94" s="110"/>
      <c r="T94" s="110"/>
      <c r="U94" s="110"/>
    </row>
    <row r="95" spans="1:24" ht="16.5" customHeight="1" x14ac:dyDescent="0.25">
      <c r="A95" s="2"/>
      <c r="B95" s="9"/>
      <c r="C95" s="24"/>
      <c r="D95" s="9"/>
      <c r="E95" s="24"/>
      <c r="F95" s="9"/>
      <c r="G95" s="24"/>
      <c r="H95" s="9"/>
      <c r="I95" s="24"/>
      <c r="J95" s="9"/>
      <c r="K95" s="28"/>
      <c r="L95" s="9"/>
      <c r="M95" s="28"/>
      <c r="N95" s="6"/>
      <c r="O95" s="28"/>
      <c r="P95" s="110"/>
      <c r="Q95" s="110"/>
      <c r="R95" s="110"/>
      <c r="S95" s="110"/>
      <c r="T95" s="110"/>
      <c r="U95" s="110"/>
      <c r="X95" s="61"/>
    </row>
    <row r="96" spans="1:24" ht="16.5" customHeight="1" x14ac:dyDescent="0.25">
      <c r="A96" s="2"/>
      <c r="B96" s="9"/>
      <c r="C96" s="24"/>
      <c r="D96" s="9"/>
      <c r="E96" s="24"/>
      <c r="F96" s="9"/>
      <c r="G96" s="24"/>
      <c r="H96" s="9"/>
      <c r="I96" s="24"/>
      <c r="J96" s="9"/>
      <c r="K96" s="28"/>
      <c r="L96" s="9"/>
      <c r="M96" s="28"/>
      <c r="N96" s="6"/>
      <c r="O96" s="28"/>
      <c r="P96" s="110"/>
      <c r="Q96" s="110"/>
      <c r="R96" s="110"/>
      <c r="S96" s="110"/>
      <c r="T96" s="110"/>
      <c r="U96" s="110"/>
    </row>
    <row r="97" spans="1:22" ht="16.5" customHeight="1" x14ac:dyDescent="0.25">
      <c r="A97" s="62" t="s">
        <v>25</v>
      </c>
      <c r="B97" s="5">
        <f>SUM(C72:C80)+SUM(C85:C96)</f>
        <v>16638.91</v>
      </c>
      <c r="C97" s="3"/>
      <c r="D97" s="5">
        <f>SUM(E72:E80)+SUM(E85:E96)</f>
        <v>140.47</v>
      </c>
      <c r="E97" s="3"/>
      <c r="F97" s="5">
        <f>SUM(G72:G80)+SUM(G85:G96)</f>
        <v>17803.39</v>
      </c>
      <c r="G97" s="3"/>
      <c r="H97" s="5">
        <f>SUM(I72:I80)+SUM(I85:I96)</f>
        <v>31724.98</v>
      </c>
      <c r="I97" s="3"/>
      <c r="J97" s="5">
        <f>SUM(K72:K80)+SUM(K85:K96)</f>
        <v>166235.22</v>
      </c>
      <c r="K97" s="3"/>
      <c r="L97" s="5">
        <f>SUM(M72:M80)+SUM(M85:M96)</f>
        <v>160554.70000000001</v>
      </c>
      <c r="M97" s="3"/>
      <c r="N97" s="5">
        <f>SUM(O72:O79)</f>
        <v>313.20999999999998</v>
      </c>
      <c r="O97" s="3"/>
      <c r="P97" s="108"/>
      <c r="Q97" s="108"/>
      <c r="R97" s="108"/>
      <c r="S97" s="108"/>
      <c r="T97" s="108"/>
      <c r="U97" s="108"/>
    </row>
    <row r="98" spans="1:22" s="67" customFormat="1" ht="16.5" customHeight="1" x14ac:dyDescent="0.25">
      <c r="A98" s="63" t="s">
        <v>31</v>
      </c>
      <c r="B98" s="65">
        <f>+B68-B97</f>
        <v>5429.77</v>
      </c>
      <c r="C98" s="24"/>
      <c r="D98" s="65">
        <f>+D68-D97</f>
        <v>7909.53</v>
      </c>
      <c r="E98" s="24"/>
      <c r="F98" s="65">
        <f>+F68-F97</f>
        <v>7607.3300000000017</v>
      </c>
      <c r="G98" s="24"/>
      <c r="H98" s="65">
        <f>+H68-H97</f>
        <v>7378.369999999999</v>
      </c>
      <c r="I98" s="24"/>
      <c r="J98" s="65">
        <f>+J68-J97</f>
        <v>12650.209999999992</v>
      </c>
      <c r="K98" s="24"/>
      <c r="L98" s="65">
        <f>+L68-L97</f>
        <v>8965.8299999999872</v>
      </c>
      <c r="M98" s="24"/>
      <c r="N98" s="64">
        <f>+N68-N97</f>
        <v>-288.20999999999998</v>
      </c>
      <c r="O98" s="24"/>
      <c r="P98" s="108"/>
      <c r="Q98" s="108"/>
      <c r="R98" s="108"/>
      <c r="S98" s="108"/>
      <c r="T98" s="108"/>
      <c r="U98" s="108"/>
      <c r="V98" s="66"/>
    </row>
    <row r="99" spans="1:22" ht="16.5" customHeight="1" x14ac:dyDescent="0.25">
      <c r="A99" s="2" t="s">
        <v>26</v>
      </c>
      <c r="B99" s="9"/>
      <c r="C99" s="24">
        <v>126.87</v>
      </c>
      <c r="D99" s="9"/>
      <c r="E99" s="24">
        <f>+AA17-0.01</f>
        <v>439.68</v>
      </c>
      <c r="F99" s="9"/>
      <c r="G99" s="24">
        <f>+AA16</f>
        <v>553.67000000000007</v>
      </c>
      <c r="H99" s="9"/>
      <c r="I99" s="24">
        <f>+AA15</f>
        <v>553.66000000000008</v>
      </c>
      <c r="J99" s="9"/>
      <c r="K99" s="28">
        <f>113.98+312.8+634.4/5</f>
        <v>553.66000000000008</v>
      </c>
      <c r="L99" s="9"/>
      <c r="M99" s="28">
        <f>113.98+312.8</f>
        <v>426.78000000000003</v>
      </c>
      <c r="N99" s="6"/>
      <c r="O99" s="28">
        <f>-O8</f>
        <v>113.98399999999999</v>
      </c>
      <c r="P99" s="110"/>
      <c r="Q99" s="110"/>
      <c r="R99" s="110"/>
      <c r="S99" s="110"/>
      <c r="T99" s="110"/>
      <c r="U99" s="110"/>
    </row>
    <row r="100" spans="1:22" ht="16.5" customHeight="1" x14ac:dyDescent="0.25">
      <c r="A100" s="2" t="s">
        <v>27</v>
      </c>
      <c r="B100" s="9"/>
      <c r="C100" s="24">
        <v>0</v>
      </c>
      <c r="D100" s="9"/>
      <c r="E100" s="24">
        <v>0</v>
      </c>
      <c r="F100" s="9"/>
      <c r="G100" s="24">
        <v>0</v>
      </c>
      <c r="H100" s="9"/>
      <c r="I100" s="24">
        <v>0</v>
      </c>
      <c r="J100" s="9"/>
      <c r="K100" s="28">
        <v>0</v>
      </c>
      <c r="L100" s="9"/>
      <c r="M100" s="28">
        <v>0</v>
      </c>
      <c r="N100" s="6"/>
      <c r="O100" s="28">
        <v>0</v>
      </c>
      <c r="P100" s="110"/>
      <c r="Q100" s="110"/>
      <c r="R100" s="110"/>
      <c r="S100" s="110"/>
      <c r="T100" s="110"/>
      <c r="U100" s="110"/>
    </row>
    <row r="101" spans="1:22" ht="16.5" customHeight="1" x14ac:dyDescent="0.25">
      <c r="A101" s="2" t="s">
        <v>28</v>
      </c>
      <c r="B101" s="9"/>
      <c r="C101" s="24"/>
      <c r="D101" s="9"/>
      <c r="E101" s="24"/>
      <c r="F101" s="9"/>
      <c r="G101" s="24"/>
      <c r="H101" s="9"/>
      <c r="I101" s="24">
        <f>5648.98+1212.74</f>
        <v>6861.7199999999993</v>
      </c>
      <c r="J101" s="9"/>
      <c r="K101" s="28">
        <v>0</v>
      </c>
      <c r="L101" s="9"/>
      <c r="M101" s="28">
        <v>0</v>
      </c>
      <c r="N101" s="6"/>
      <c r="O101" s="28">
        <v>0</v>
      </c>
      <c r="P101" s="110"/>
      <c r="Q101" s="110"/>
      <c r="R101" s="110"/>
      <c r="S101" s="110"/>
      <c r="T101" s="110"/>
      <c r="U101" s="110"/>
    </row>
    <row r="102" spans="1:22" ht="16.5" customHeight="1" x14ac:dyDescent="0.25">
      <c r="A102" s="2"/>
      <c r="B102" s="9"/>
      <c r="C102" s="24"/>
      <c r="D102" s="9"/>
      <c r="E102" s="24"/>
      <c r="F102" s="9"/>
      <c r="G102" s="24"/>
      <c r="H102" s="9"/>
      <c r="I102" s="24"/>
      <c r="J102" s="9"/>
      <c r="K102" s="24"/>
      <c r="L102" s="9"/>
      <c r="M102" s="24"/>
      <c r="N102" s="6"/>
      <c r="O102" s="24"/>
      <c r="P102" s="108"/>
      <c r="Q102" s="108"/>
      <c r="R102" s="108"/>
      <c r="S102" s="108"/>
      <c r="T102" s="108"/>
      <c r="U102" s="108"/>
    </row>
    <row r="103" spans="1:22" s="12" customFormat="1" ht="16.5" customHeight="1" x14ac:dyDescent="0.25">
      <c r="A103" s="27" t="s">
        <v>29</v>
      </c>
      <c r="B103" s="9"/>
      <c r="C103" s="4">
        <f>B98-C99-C101</f>
        <v>5302.9000000000005</v>
      </c>
      <c r="D103" s="9"/>
      <c r="E103" s="4">
        <f>D98-E99-E101</f>
        <v>7469.8499999999995</v>
      </c>
      <c r="F103" s="9"/>
      <c r="G103" s="4">
        <f>F98-G99-G101-G102</f>
        <v>7053.6600000000017</v>
      </c>
      <c r="H103" s="9"/>
      <c r="I103" s="4">
        <f>H98-I99-I101</f>
        <v>-37.010000000000218</v>
      </c>
      <c r="J103" s="9"/>
      <c r="K103" s="4">
        <f>J98-K99</f>
        <v>12096.549999999992</v>
      </c>
      <c r="L103" s="9"/>
      <c r="M103" s="4">
        <f>L98-M99-M100-M101</f>
        <v>8539.0499999999865</v>
      </c>
      <c r="N103" s="6"/>
      <c r="O103" s="4">
        <f>N98-O99</f>
        <v>-402.19399999999996</v>
      </c>
      <c r="P103" s="86"/>
      <c r="Q103" s="86"/>
      <c r="R103" s="86"/>
      <c r="S103" s="86"/>
      <c r="T103" s="86"/>
      <c r="U103" s="86"/>
    </row>
    <row r="104" spans="1:22" ht="16.5" customHeight="1" x14ac:dyDescent="0.25">
      <c r="A104" s="2" t="s">
        <v>30</v>
      </c>
      <c r="B104" s="9"/>
      <c r="C104" s="89">
        <v>0</v>
      </c>
      <c r="D104" s="9"/>
      <c r="E104" s="89">
        <v>0</v>
      </c>
      <c r="F104" s="9"/>
      <c r="G104" s="89">
        <v>0</v>
      </c>
      <c r="H104" s="9"/>
      <c r="I104" s="89"/>
      <c r="J104" s="9"/>
      <c r="K104" s="11">
        <v>957</v>
      </c>
      <c r="L104" s="9"/>
      <c r="M104" s="11">
        <v>2414</v>
      </c>
      <c r="N104" s="6"/>
      <c r="O104" s="11">
        <v>0</v>
      </c>
      <c r="P104" s="110"/>
      <c r="Q104" s="110"/>
      <c r="R104" s="110"/>
      <c r="S104" s="110"/>
      <c r="T104" s="110"/>
      <c r="U104" s="110"/>
    </row>
    <row r="105" spans="1:22" ht="16.5" customHeight="1" thickBot="1" x14ac:dyDescent="0.3">
      <c r="A105" s="45" t="s">
        <v>33</v>
      </c>
      <c r="B105" s="70">
        <f>C103-C104</f>
        <v>5302.9000000000005</v>
      </c>
      <c r="C105" s="90"/>
      <c r="D105" s="70">
        <f>E103-E104</f>
        <v>7469.8499999999995</v>
      </c>
      <c r="E105" s="90"/>
      <c r="F105" s="70">
        <f>G103-G104</f>
        <v>7053.6600000000017</v>
      </c>
      <c r="G105" s="90"/>
      <c r="H105" s="70">
        <f>I103-I104</f>
        <v>-37.010000000000218</v>
      </c>
      <c r="I105" s="90"/>
      <c r="J105" s="70">
        <f>K103-K104</f>
        <v>11139.549999999992</v>
      </c>
      <c r="K105" s="69"/>
      <c r="L105" s="70">
        <f>M103-M104</f>
        <v>6125.0499999999865</v>
      </c>
      <c r="M105" s="69"/>
      <c r="N105" s="68">
        <f>O103-O104</f>
        <v>-402.19399999999996</v>
      </c>
      <c r="O105" s="69"/>
      <c r="P105" s="71"/>
      <c r="Q105" s="71"/>
      <c r="R105" s="71"/>
      <c r="S105" s="71"/>
      <c r="T105" s="71"/>
      <c r="U105" s="71"/>
      <c r="V105" s="71"/>
    </row>
    <row r="106" spans="1:22" ht="16.5" customHeight="1" thickTop="1" x14ac:dyDescent="0.25">
      <c r="B106" s="61"/>
      <c r="D106" s="61"/>
      <c r="F106" s="61"/>
      <c r="H106" s="61"/>
    </row>
    <row r="107" spans="1:22" ht="16.5" customHeight="1" x14ac:dyDescent="0.25">
      <c r="A107" s="73"/>
      <c r="B107" s="73"/>
      <c r="C107" s="92"/>
      <c r="D107" s="73"/>
      <c r="E107" s="92"/>
      <c r="F107" s="73"/>
      <c r="G107" s="92"/>
      <c r="H107" s="73"/>
      <c r="I107" s="92"/>
      <c r="K107" s="73"/>
      <c r="M107" s="73"/>
      <c r="O107" s="73"/>
      <c r="P107" s="73"/>
      <c r="Q107" s="73"/>
      <c r="R107" s="73"/>
      <c r="S107" s="73"/>
      <c r="T107" s="73"/>
      <c r="U107" s="73"/>
    </row>
    <row r="108" spans="1:22" s="12" customFormat="1" ht="16.5" customHeight="1" x14ac:dyDescent="0.25">
      <c r="A108" s="73"/>
      <c r="B108" s="73"/>
      <c r="C108" s="92"/>
      <c r="D108" s="73"/>
      <c r="E108" s="92"/>
      <c r="F108" s="73"/>
      <c r="G108" s="92"/>
      <c r="H108" s="73"/>
      <c r="I108" s="92"/>
      <c r="J108" s="72"/>
      <c r="K108" s="73"/>
      <c r="L108" s="72"/>
      <c r="M108" s="73"/>
      <c r="N108" s="72"/>
      <c r="O108" s="73"/>
      <c r="P108" s="73"/>
      <c r="Q108" s="73"/>
      <c r="R108" s="73"/>
      <c r="S108" s="73"/>
      <c r="T108" s="73"/>
      <c r="U108" s="73"/>
    </row>
    <row r="109" spans="1:22" s="12" customFormat="1" ht="16.5" customHeight="1" x14ac:dyDescent="0.25">
      <c r="A109" s="74"/>
      <c r="B109" s="145"/>
      <c r="C109" s="93"/>
      <c r="D109" s="145"/>
      <c r="E109" s="93"/>
      <c r="F109" s="145"/>
      <c r="G109" s="93"/>
      <c r="H109" s="145"/>
      <c r="I109" s="93"/>
      <c r="J109" s="72"/>
      <c r="K109" s="145"/>
      <c r="L109" s="72"/>
      <c r="M109" s="145"/>
      <c r="N109" s="72"/>
      <c r="O109" s="145"/>
      <c r="P109" s="112"/>
      <c r="Q109" s="112"/>
      <c r="R109" s="112"/>
      <c r="S109" s="112"/>
      <c r="T109" s="102"/>
      <c r="U109" s="102"/>
    </row>
    <row r="110" spans="1:22" s="12" customFormat="1" ht="16.5" customHeight="1" x14ac:dyDescent="0.25">
      <c r="A110" s="74"/>
      <c r="B110" s="145"/>
      <c r="C110" s="93"/>
      <c r="D110" s="145"/>
      <c r="E110" s="93"/>
      <c r="F110" s="145"/>
      <c r="G110" s="93"/>
      <c r="H110" s="145"/>
      <c r="I110" s="93"/>
      <c r="J110" s="72"/>
      <c r="K110" s="145"/>
      <c r="L110" s="72"/>
      <c r="M110" s="145"/>
      <c r="N110" s="72"/>
      <c r="O110" s="145"/>
      <c r="P110" s="112"/>
      <c r="Q110" s="112"/>
      <c r="R110" s="112"/>
      <c r="S110" s="112"/>
      <c r="T110" s="102"/>
      <c r="U110" s="102"/>
    </row>
    <row r="111" spans="1:22" ht="16.5" customHeight="1" x14ac:dyDescent="0.25">
      <c r="A111" s="75"/>
      <c r="B111" s="75"/>
      <c r="C111" s="94"/>
      <c r="D111" s="75"/>
      <c r="E111" s="94"/>
      <c r="F111" s="75"/>
      <c r="G111" s="94"/>
      <c r="H111" s="75"/>
      <c r="I111" s="94"/>
      <c r="K111" s="75"/>
      <c r="M111" s="75"/>
      <c r="O111" s="75"/>
      <c r="P111" s="75"/>
      <c r="Q111" s="75"/>
      <c r="R111" s="75"/>
      <c r="S111" s="75"/>
      <c r="T111" s="75"/>
      <c r="U111" s="75"/>
    </row>
    <row r="116" spans="1:21" s="12" customFormat="1" ht="16.5" customHeight="1" x14ac:dyDescent="0.25">
      <c r="C116" s="87"/>
      <c r="E116" s="87"/>
      <c r="G116" s="87"/>
      <c r="I116" s="87"/>
      <c r="J116" s="72"/>
      <c r="L116" s="72"/>
      <c r="N116" s="72"/>
    </row>
    <row r="117" spans="1:21" s="12" customFormat="1" ht="16.5" customHeight="1" x14ac:dyDescent="0.25">
      <c r="C117" s="87"/>
      <c r="E117" s="87"/>
      <c r="G117" s="87"/>
      <c r="I117" s="87"/>
      <c r="J117" s="72"/>
      <c r="L117" s="72"/>
      <c r="N117" s="72"/>
    </row>
    <row r="118" spans="1:21" s="12" customFormat="1" ht="16.5" customHeight="1" x14ac:dyDescent="0.25">
      <c r="A118" s="1"/>
      <c r="B118" s="1"/>
      <c r="C118" s="91"/>
      <c r="D118" s="1"/>
      <c r="E118" s="91"/>
      <c r="F118" s="1"/>
      <c r="G118" s="91"/>
      <c r="H118" s="1"/>
      <c r="I118" s="91"/>
      <c r="J118" s="72"/>
      <c r="K118" s="1"/>
      <c r="L118" s="72"/>
      <c r="M118" s="1"/>
      <c r="N118" s="72"/>
      <c r="O118" s="1"/>
      <c r="P118" s="1"/>
      <c r="Q118" s="1"/>
      <c r="R118" s="1"/>
      <c r="S118" s="1"/>
      <c r="T118" s="1"/>
      <c r="U118" s="1"/>
    </row>
    <row r="124" spans="1:21" s="12" customFormat="1" ht="16.5" customHeight="1" x14ac:dyDescent="0.25">
      <c r="A124" s="1"/>
      <c r="B124" s="1"/>
      <c r="C124" s="91"/>
      <c r="D124" s="1"/>
      <c r="E124" s="91"/>
      <c r="F124" s="1"/>
      <c r="G124" s="91"/>
      <c r="H124" s="1"/>
      <c r="I124" s="91"/>
      <c r="J124" s="72"/>
      <c r="K124" s="1"/>
      <c r="L124" s="72"/>
      <c r="M124" s="1"/>
      <c r="N124" s="72"/>
      <c r="O124" s="1"/>
      <c r="P124" s="1"/>
      <c r="Q124" s="1"/>
      <c r="R124" s="1"/>
      <c r="S124" s="1"/>
      <c r="T124" s="1"/>
      <c r="U124" s="1"/>
    </row>
    <row r="125" spans="1:21" s="12" customFormat="1" ht="16.5" customHeight="1" x14ac:dyDescent="0.25">
      <c r="A125" s="1"/>
      <c r="B125" s="1"/>
      <c r="C125" s="91"/>
      <c r="D125" s="1"/>
      <c r="E125" s="91"/>
      <c r="F125" s="1"/>
      <c r="G125" s="91"/>
      <c r="H125" s="1"/>
      <c r="I125" s="91"/>
      <c r="J125" s="72"/>
      <c r="K125" s="1"/>
      <c r="L125" s="72"/>
      <c r="M125" s="1"/>
      <c r="N125" s="72"/>
      <c r="O125" s="1"/>
      <c r="P125" s="1"/>
      <c r="Q125" s="1"/>
      <c r="R125" s="1"/>
      <c r="S125" s="1"/>
      <c r="T125" s="1"/>
      <c r="U125" s="1"/>
    </row>
    <row r="127" spans="1:21" ht="16.5" customHeight="1" x14ac:dyDescent="0.25">
      <c r="A127" s="12"/>
      <c r="B127" s="12"/>
      <c r="C127" s="87"/>
      <c r="D127" s="12"/>
      <c r="E127" s="87"/>
      <c r="F127" s="12"/>
      <c r="G127" s="87"/>
      <c r="H127" s="12"/>
      <c r="I127" s="87"/>
      <c r="K127" s="12"/>
      <c r="M127" s="12"/>
      <c r="O127" s="12"/>
      <c r="P127" s="12"/>
      <c r="Q127" s="12"/>
      <c r="R127" s="12"/>
      <c r="S127" s="12"/>
      <c r="T127" s="12"/>
      <c r="U127" s="12"/>
    </row>
    <row r="128" spans="1:21" ht="16.5" customHeight="1" x14ac:dyDescent="0.25">
      <c r="A128" s="12"/>
      <c r="B128" s="12"/>
      <c r="C128" s="87"/>
      <c r="D128" s="12"/>
      <c r="E128" s="87"/>
      <c r="F128" s="12"/>
      <c r="G128" s="87"/>
      <c r="H128" s="12"/>
      <c r="I128" s="87"/>
      <c r="K128" s="12"/>
      <c r="M128" s="12"/>
      <c r="O128" s="12"/>
      <c r="P128" s="12"/>
      <c r="Q128" s="12"/>
      <c r="R128" s="12"/>
      <c r="S128" s="12"/>
      <c r="T128" s="12"/>
      <c r="U128" s="12"/>
    </row>
    <row r="129" spans="1:21" ht="16.5" customHeight="1" x14ac:dyDescent="0.25">
      <c r="A129" s="12"/>
      <c r="B129" s="12"/>
      <c r="C129" s="87"/>
      <c r="D129" s="12"/>
      <c r="E129" s="87"/>
      <c r="F129" s="12"/>
      <c r="G129" s="87"/>
      <c r="H129" s="12"/>
      <c r="I129" s="87"/>
      <c r="K129" s="12"/>
      <c r="M129" s="12"/>
      <c r="O129" s="12"/>
      <c r="P129" s="12"/>
      <c r="Q129" s="12"/>
      <c r="R129" s="12"/>
      <c r="S129" s="12"/>
      <c r="T129" s="12"/>
      <c r="U129" s="12"/>
    </row>
  </sheetData>
  <mergeCells count="21">
    <mergeCell ref="A1:O1"/>
    <mergeCell ref="A2:O2"/>
    <mergeCell ref="A57:O57"/>
    <mergeCell ref="J4:K4"/>
    <mergeCell ref="N4:O4"/>
    <mergeCell ref="L4:M4"/>
    <mergeCell ref="H4:I4"/>
    <mergeCell ref="F4:G4"/>
    <mergeCell ref="D4:E4"/>
    <mergeCell ref="B4:C4"/>
    <mergeCell ref="B59:C59"/>
    <mergeCell ref="T40:U40"/>
    <mergeCell ref="R40:S40"/>
    <mergeCell ref="P40:Q40"/>
    <mergeCell ref="J59:K59"/>
    <mergeCell ref="L59:M59"/>
    <mergeCell ref="A56:O56"/>
    <mergeCell ref="N59:O59"/>
    <mergeCell ref="H59:I59"/>
    <mergeCell ref="F59:G59"/>
    <mergeCell ref="D59:E59"/>
  </mergeCells>
  <phoneticPr fontId="0" type="noConversion"/>
  <printOptions horizontalCentered="1" verticalCentered="1"/>
  <pageMargins left="0.39370078740157483" right="0.47244094488188981" top="0.43307086614173229" bottom="0.31496062992125984" header="0.19685039370078741" footer="0.19685039370078741"/>
  <pageSetup paperSize="9" scale="115" orientation="portrait" horizontalDpi="180" verticalDpi="180" r:id="rId1"/>
  <headerFooter alignWithMargins="0"/>
  <rowBreaks count="1" manualBreakCount="1">
    <brk id="5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7" sqref="C17"/>
    </sheetView>
  </sheetViews>
  <sheetFormatPr defaultRowHeight="12.75" x14ac:dyDescent="0.2"/>
  <cols>
    <col min="1" max="1" width="12.28515625" bestFit="1" customWidth="1"/>
  </cols>
  <sheetData>
    <row r="1" spans="1:3" x14ac:dyDescent="0.2">
      <c r="A1" s="77"/>
      <c r="B1" s="77" t="s">
        <v>86</v>
      </c>
      <c r="C1" s="77" t="s">
        <v>87</v>
      </c>
    </row>
    <row r="2" spans="1:3" x14ac:dyDescent="0.2">
      <c r="A2" s="77" t="s">
        <v>85</v>
      </c>
    </row>
    <row r="3" spans="1:3" x14ac:dyDescent="0.2">
      <c r="A3" s="77" t="s">
        <v>88</v>
      </c>
    </row>
    <row r="4" spans="1:3" x14ac:dyDescent="0.2">
      <c r="A4" s="77" t="s">
        <v>89</v>
      </c>
    </row>
    <row r="5" spans="1:3" x14ac:dyDescent="0.2">
      <c r="A5" s="77" t="s">
        <v>90</v>
      </c>
    </row>
    <row r="6" spans="1:3" x14ac:dyDescent="0.2">
      <c r="A6" s="77" t="s">
        <v>91</v>
      </c>
    </row>
    <row r="7" spans="1:3" x14ac:dyDescent="0.2">
      <c r="A7" s="77" t="s">
        <v>92</v>
      </c>
    </row>
    <row r="8" spans="1:3" x14ac:dyDescent="0.2">
      <c r="A8" s="77" t="s">
        <v>93</v>
      </c>
    </row>
    <row r="9" spans="1:3" x14ac:dyDescent="0.2">
      <c r="A9" s="77" t="s">
        <v>94</v>
      </c>
    </row>
    <row r="10" spans="1:3" x14ac:dyDescent="0.2">
      <c r="A10" s="77" t="s">
        <v>95</v>
      </c>
    </row>
    <row r="11" spans="1:3" x14ac:dyDescent="0.2">
      <c r="A11" s="77" t="s">
        <v>96</v>
      </c>
      <c r="C11">
        <v>5175.01</v>
      </c>
    </row>
    <row r="12" spans="1:3" x14ac:dyDescent="0.2">
      <c r="A12" s="77" t="s">
        <v>97</v>
      </c>
      <c r="C12">
        <v>-229.51</v>
      </c>
    </row>
    <row r="13" spans="1:3" x14ac:dyDescent="0.2">
      <c r="A13" s="77" t="s">
        <v>98</v>
      </c>
    </row>
    <row r="16" spans="1:3" x14ac:dyDescent="0.2">
      <c r="C16">
        <f>SUM(C11:C15)</f>
        <v>4945.5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ALTERNATIVE ITA</vt:lpstr>
      <vt:lpstr>Foglio1</vt:lpstr>
      <vt:lpstr>'ALTERNATIVE ITA'!Area_stampa</vt:lpstr>
    </vt:vector>
  </TitlesOfParts>
  <Company>Pmc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alessia</dc:creator>
  <cp:lastModifiedBy>Alexander Narcisi</cp:lastModifiedBy>
  <cp:lastPrinted>2015-04-20T12:41:46Z</cp:lastPrinted>
  <dcterms:created xsi:type="dcterms:W3CDTF">2006-06-28T16:55:22Z</dcterms:created>
  <dcterms:modified xsi:type="dcterms:W3CDTF">2019-09-20T11:01:06Z</dcterms:modified>
</cp:coreProperties>
</file>